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3375" yWindow="3000" windowWidth="43665" windowHeight="15990" tabRatio="500"/>
  </bookViews>
  <sheets>
    <sheet name="Inh&amp;Ing" sheetId="1" r:id="rId1"/>
    <sheet name="ExternalDoses" sheetId="3" r:id="rId2"/>
    <sheet name="OffsiteInhalation" sheetId="4" r:id="rId3"/>
    <sheet name="Radon" sheetId="5" r:id="rId4"/>
    <sheet name="RepresentitiveConcentrationRev2" sheetId="8" r:id="rId5"/>
    <sheet name="Scratch" sheetId="7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5" l="1"/>
  <c r="B20" i="5"/>
  <c r="B22" i="5"/>
  <c r="B27" i="5"/>
  <c r="B28" i="5"/>
  <c r="B16" i="5"/>
  <c r="B21" i="5"/>
  <c r="B23" i="5"/>
  <c r="B34" i="5"/>
  <c r="B31" i="5"/>
  <c r="B32" i="5"/>
  <c r="B33" i="5"/>
  <c r="B36" i="5"/>
  <c r="B41" i="5"/>
  <c r="B42" i="5"/>
  <c r="F50" i="5"/>
  <c r="B54" i="5"/>
  <c r="H50" i="5"/>
  <c r="E50" i="5"/>
  <c r="G50" i="5"/>
  <c r="J50" i="5"/>
  <c r="I50" i="5"/>
  <c r="F49" i="5"/>
  <c r="B53" i="5"/>
  <c r="H49" i="5"/>
  <c r="E49" i="5"/>
  <c r="G49" i="5"/>
  <c r="Q11" i="8"/>
  <c r="B16" i="1"/>
  <c r="B17" i="1"/>
  <c r="B18" i="1"/>
  <c r="A27" i="1"/>
  <c r="A28" i="1"/>
  <c r="A29" i="1"/>
  <c r="D78" i="4"/>
  <c r="D3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S13" i="8"/>
  <c r="C15" i="4"/>
  <c r="B20" i="1"/>
  <c r="B22" i="1"/>
  <c r="D8" i="4"/>
  <c r="C42" i="4"/>
  <c r="I66" i="4"/>
  <c r="C81" i="4"/>
  <c r="J108" i="4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S14" i="8"/>
  <c r="C16" i="4"/>
  <c r="C43" i="4"/>
  <c r="I67" i="4"/>
  <c r="C82" i="4"/>
  <c r="J109" i="4"/>
  <c r="D3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S15" i="8"/>
  <c r="C17" i="4"/>
  <c r="C44" i="4"/>
  <c r="I68" i="4"/>
  <c r="C83" i="4"/>
  <c r="J110" i="4"/>
  <c r="S16" i="8"/>
  <c r="C18" i="4"/>
  <c r="C45" i="4"/>
  <c r="I69" i="4"/>
  <c r="C84" i="4"/>
  <c r="J111" i="4"/>
  <c r="G25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S17" i="8"/>
  <c r="C19" i="4"/>
  <c r="C46" i="4"/>
  <c r="I70" i="4"/>
  <c r="C85" i="4"/>
  <c r="J112" i="4"/>
  <c r="D35" i="8"/>
  <c r="C18" i="8"/>
  <c r="E18" i="8"/>
  <c r="F18" i="8"/>
  <c r="G18" i="8"/>
  <c r="H18" i="8"/>
  <c r="I18" i="8"/>
  <c r="J18" i="8"/>
  <c r="K18" i="8"/>
  <c r="L18" i="8"/>
  <c r="M18" i="8"/>
  <c r="N18" i="8"/>
  <c r="O18" i="8"/>
  <c r="P18" i="8"/>
  <c r="S18" i="8"/>
  <c r="C20" i="4"/>
  <c r="C47" i="4"/>
  <c r="I71" i="4"/>
  <c r="C86" i="4"/>
  <c r="J113" i="4"/>
  <c r="S19" i="8"/>
  <c r="C21" i="4"/>
  <c r="C48" i="4"/>
  <c r="I72" i="4"/>
  <c r="C87" i="4"/>
  <c r="J114" i="4"/>
  <c r="G26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S20" i="8"/>
  <c r="C22" i="4"/>
  <c r="C49" i="4"/>
  <c r="I73" i="4"/>
  <c r="C88" i="4"/>
  <c r="J115" i="4"/>
  <c r="J116" i="4"/>
  <c r="J120" i="4"/>
  <c r="C31" i="4"/>
  <c r="I54" i="4"/>
  <c r="J95" i="4"/>
  <c r="C32" i="4"/>
  <c r="I55" i="4"/>
  <c r="J96" i="4"/>
  <c r="C33" i="4"/>
  <c r="I56" i="4"/>
  <c r="J97" i="4"/>
  <c r="C34" i="4"/>
  <c r="I57" i="4"/>
  <c r="J98" i="4"/>
  <c r="C35" i="4"/>
  <c r="I58" i="4"/>
  <c r="J99" i="4"/>
  <c r="C36" i="4"/>
  <c r="I59" i="4"/>
  <c r="J100" i="4"/>
  <c r="C37" i="4"/>
  <c r="I60" i="4"/>
  <c r="J101" i="4"/>
  <c r="C38" i="4"/>
  <c r="I61" i="4"/>
  <c r="J102" i="4"/>
  <c r="J103" i="4"/>
  <c r="J119" i="4"/>
  <c r="F66" i="4"/>
  <c r="G108" i="4"/>
  <c r="F67" i="4"/>
  <c r="G109" i="4"/>
  <c r="F68" i="4"/>
  <c r="G110" i="4"/>
  <c r="F69" i="4"/>
  <c r="G111" i="4"/>
  <c r="F70" i="4"/>
  <c r="G112" i="4"/>
  <c r="F71" i="4"/>
  <c r="G113" i="4"/>
  <c r="F72" i="4"/>
  <c r="G114" i="4"/>
  <c r="F73" i="4"/>
  <c r="G115" i="4"/>
  <c r="G116" i="4"/>
  <c r="G120" i="4"/>
  <c r="F54" i="4"/>
  <c r="G95" i="4"/>
  <c r="F55" i="4"/>
  <c r="G96" i="4"/>
  <c r="F56" i="4"/>
  <c r="G97" i="4"/>
  <c r="F57" i="4"/>
  <c r="G98" i="4"/>
  <c r="F58" i="4"/>
  <c r="G99" i="4"/>
  <c r="F59" i="4"/>
  <c r="G100" i="4"/>
  <c r="F60" i="4"/>
  <c r="G101" i="4"/>
  <c r="F61" i="4"/>
  <c r="G102" i="4"/>
  <c r="G103" i="4"/>
  <c r="G119" i="4"/>
  <c r="C66" i="4"/>
  <c r="D108" i="4"/>
  <c r="C67" i="4"/>
  <c r="D109" i="4"/>
  <c r="C68" i="4"/>
  <c r="D110" i="4"/>
  <c r="C69" i="4"/>
  <c r="D111" i="4"/>
  <c r="C70" i="4"/>
  <c r="D112" i="4"/>
  <c r="C71" i="4"/>
  <c r="D113" i="4"/>
  <c r="C72" i="4"/>
  <c r="D114" i="4"/>
  <c r="C73" i="4"/>
  <c r="D115" i="4"/>
  <c r="D116" i="4"/>
  <c r="D120" i="4"/>
  <c r="C54" i="4"/>
  <c r="D95" i="4"/>
  <c r="C55" i="4"/>
  <c r="D96" i="4"/>
  <c r="C56" i="4"/>
  <c r="D97" i="4"/>
  <c r="C57" i="4"/>
  <c r="D98" i="4"/>
  <c r="C58" i="4"/>
  <c r="D99" i="4"/>
  <c r="C59" i="4"/>
  <c r="D100" i="4"/>
  <c r="C60" i="4"/>
  <c r="D101" i="4"/>
  <c r="C61" i="4"/>
  <c r="D102" i="4"/>
  <c r="D103" i="4"/>
  <c r="D119" i="4"/>
  <c r="A78" i="4"/>
  <c r="B81" i="4"/>
  <c r="C108" i="4"/>
  <c r="I95" i="4"/>
  <c r="F95" i="4"/>
  <c r="B88" i="4"/>
  <c r="F102" i="4"/>
  <c r="B87" i="4"/>
  <c r="F101" i="4"/>
  <c r="B86" i="4"/>
  <c r="F100" i="4"/>
  <c r="B85" i="4"/>
  <c r="F99" i="4"/>
  <c r="B84" i="4"/>
  <c r="F98" i="4"/>
  <c r="B83" i="4"/>
  <c r="F97" i="4"/>
  <c r="B82" i="4"/>
  <c r="F96" i="4"/>
  <c r="C102" i="4"/>
  <c r="C101" i="4"/>
  <c r="C100" i="4"/>
  <c r="C99" i="4"/>
  <c r="C98" i="4"/>
  <c r="C97" i="4"/>
  <c r="C96" i="4"/>
  <c r="C95" i="4"/>
  <c r="C103" i="4"/>
  <c r="C42" i="1"/>
  <c r="B73" i="1"/>
  <c r="C41" i="1"/>
  <c r="B72" i="1"/>
  <c r="C40" i="1"/>
  <c r="B71" i="1"/>
  <c r="C39" i="1"/>
  <c r="B70" i="1"/>
  <c r="C38" i="1"/>
  <c r="B69" i="1"/>
  <c r="C37" i="1"/>
  <c r="B68" i="1"/>
  <c r="C36" i="1"/>
  <c r="B67" i="1"/>
  <c r="C35" i="1"/>
  <c r="B66" i="1"/>
  <c r="A32" i="1"/>
  <c r="A31" i="1"/>
  <c r="C61" i="1"/>
  <c r="C100" i="1"/>
  <c r="C101" i="1"/>
  <c r="C102" i="1"/>
  <c r="C103" i="1"/>
  <c r="C104" i="1"/>
  <c r="C105" i="1"/>
  <c r="C106" i="1"/>
  <c r="C107" i="1"/>
  <c r="C108" i="1"/>
  <c r="E108" i="1"/>
  <c r="E107" i="1"/>
  <c r="E106" i="1"/>
  <c r="E105" i="1"/>
  <c r="E104" i="1"/>
  <c r="E103" i="1"/>
  <c r="E102" i="1"/>
  <c r="E101" i="1"/>
  <c r="E100" i="1"/>
  <c r="C66" i="1"/>
  <c r="C77" i="1"/>
  <c r="C88" i="1"/>
  <c r="C67" i="1"/>
  <c r="C78" i="1"/>
  <c r="C89" i="1"/>
  <c r="C68" i="1"/>
  <c r="C79" i="1"/>
  <c r="C90" i="1"/>
  <c r="C69" i="1"/>
  <c r="C80" i="1"/>
  <c r="C91" i="1"/>
  <c r="C70" i="1"/>
  <c r="C81" i="1"/>
  <c r="C92" i="1"/>
  <c r="C71" i="1"/>
  <c r="C82" i="1"/>
  <c r="C93" i="1"/>
  <c r="C72" i="1"/>
  <c r="C83" i="1"/>
  <c r="C94" i="1"/>
  <c r="C73" i="1"/>
  <c r="C84" i="1"/>
  <c r="C95" i="1"/>
  <c r="C96" i="1"/>
  <c r="C120" i="1"/>
  <c r="E120" i="1"/>
  <c r="C119" i="1"/>
  <c r="E119" i="1"/>
  <c r="C118" i="1"/>
  <c r="E118" i="1"/>
  <c r="C117" i="1"/>
  <c r="E117" i="1"/>
  <c r="C116" i="1"/>
  <c r="E116" i="1"/>
  <c r="C115" i="1"/>
  <c r="E115" i="1"/>
  <c r="C114" i="1"/>
  <c r="E114" i="1"/>
  <c r="C113" i="1"/>
  <c r="E113" i="1"/>
  <c r="C112" i="1"/>
  <c r="E112" i="1"/>
  <c r="E96" i="1"/>
  <c r="E95" i="1"/>
  <c r="E94" i="1"/>
  <c r="E93" i="1"/>
  <c r="E92" i="1"/>
  <c r="E91" i="1"/>
  <c r="E90" i="1"/>
  <c r="E89" i="1"/>
  <c r="E88" i="1"/>
  <c r="F40" i="5"/>
  <c r="A15" i="3"/>
  <c r="A16" i="3"/>
  <c r="A7" i="3"/>
  <c r="A9" i="3"/>
  <c r="A10" i="3"/>
  <c r="V16" i="8"/>
  <c r="G40" i="5"/>
  <c r="G42" i="8"/>
  <c r="H42" i="8"/>
  <c r="H44" i="8"/>
  <c r="I42" i="8"/>
  <c r="F42" i="8"/>
  <c r="E42" i="8"/>
  <c r="D42" i="8"/>
  <c r="I41" i="8"/>
  <c r="H41" i="8"/>
  <c r="G41" i="8"/>
  <c r="F41" i="8"/>
  <c r="E41" i="8"/>
  <c r="D41" i="8"/>
  <c r="V20" i="8"/>
  <c r="V19" i="8"/>
  <c r="V18" i="8"/>
  <c r="V17" i="8"/>
  <c r="V15" i="8"/>
  <c r="V14" i="8"/>
  <c r="V13" i="8"/>
  <c r="G8" i="8"/>
  <c r="D7" i="8"/>
  <c r="F84" i="1"/>
  <c r="F83" i="1"/>
  <c r="F82" i="1"/>
  <c r="F81" i="1"/>
  <c r="F80" i="1"/>
  <c r="F79" i="1"/>
  <c r="F78" i="1"/>
  <c r="F77" i="1"/>
  <c r="G84" i="1"/>
  <c r="G83" i="1"/>
  <c r="G82" i="1"/>
  <c r="G81" i="1"/>
  <c r="G80" i="1"/>
  <c r="G79" i="1"/>
  <c r="G78" i="1"/>
  <c r="G77" i="1"/>
  <c r="B52" i="5"/>
  <c r="F48" i="5"/>
  <c r="H48" i="5"/>
  <c r="E48" i="5"/>
  <c r="G48" i="5"/>
  <c r="F47" i="5"/>
  <c r="H47" i="5"/>
  <c r="E47" i="5"/>
  <c r="G47" i="5"/>
  <c r="A61" i="1"/>
  <c r="I108" i="4"/>
  <c r="I109" i="4"/>
  <c r="I110" i="4"/>
  <c r="I111" i="4"/>
  <c r="I112" i="4"/>
  <c r="I113" i="4"/>
  <c r="I114" i="4"/>
  <c r="I115" i="4"/>
  <c r="I116" i="4"/>
  <c r="I120" i="4"/>
  <c r="F108" i="4"/>
  <c r="F109" i="4"/>
  <c r="F110" i="4"/>
  <c r="F111" i="4"/>
  <c r="F112" i="4"/>
  <c r="F113" i="4"/>
  <c r="F114" i="4"/>
  <c r="F115" i="4"/>
  <c r="F116" i="4"/>
  <c r="F120" i="4"/>
  <c r="C109" i="4"/>
  <c r="C110" i="4"/>
  <c r="C111" i="4"/>
  <c r="C112" i="4"/>
  <c r="C113" i="4"/>
  <c r="C114" i="4"/>
  <c r="C115" i="4"/>
  <c r="C116" i="4"/>
  <c r="C120" i="4"/>
  <c r="I96" i="4"/>
  <c r="I97" i="4"/>
  <c r="I98" i="4"/>
  <c r="I99" i="4"/>
  <c r="I100" i="4"/>
  <c r="I101" i="4"/>
  <c r="I102" i="4"/>
  <c r="I103" i="4"/>
  <c r="I119" i="4"/>
  <c r="F103" i="4"/>
  <c r="F119" i="4"/>
  <c r="C119" i="4"/>
  <c r="C132" i="1"/>
  <c r="C131" i="1"/>
  <c r="C130" i="1"/>
  <c r="C129" i="1"/>
  <c r="C128" i="1"/>
  <c r="C127" i="1"/>
  <c r="C126" i="1"/>
  <c r="C125" i="1"/>
  <c r="C124" i="1"/>
  <c r="E58" i="1"/>
  <c r="E57" i="1"/>
  <c r="E56" i="1"/>
  <c r="E55" i="1"/>
  <c r="E54" i="1"/>
  <c r="E53" i="1"/>
  <c r="E52" i="1"/>
  <c r="E51" i="1"/>
  <c r="B10" i="5"/>
  <c r="B45" i="5"/>
  <c r="J49" i="5"/>
  <c r="I49" i="5"/>
  <c r="J48" i="5"/>
  <c r="I48" i="5"/>
  <c r="J47" i="5"/>
  <c r="I47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1" i="5"/>
  <c r="D46" i="5"/>
  <c r="B49" i="5"/>
  <c r="A49" i="5"/>
  <c r="B48" i="5"/>
  <c r="A48" i="5"/>
  <c r="B47" i="5"/>
  <c r="A47" i="5"/>
  <c r="C46" i="5"/>
  <c r="A46" i="5"/>
  <c r="B61" i="5"/>
  <c r="C61" i="5"/>
  <c r="B60" i="5"/>
  <c r="C60" i="5"/>
  <c r="B59" i="5"/>
  <c r="C59" i="5"/>
  <c r="A10" i="7"/>
  <c r="A5" i="7"/>
  <c r="E12" i="5"/>
  <c r="A88" i="4"/>
  <c r="A87" i="4"/>
  <c r="A86" i="4"/>
  <c r="A85" i="4"/>
  <c r="A84" i="4"/>
  <c r="A83" i="4"/>
  <c r="A82" i="4"/>
  <c r="A81" i="4"/>
</calcChain>
</file>

<file path=xl/sharedStrings.xml><?xml version="1.0" encoding="utf-8"?>
<sst xmlns="http://schemas.openxmlformats.org/spreadsheetml/2006/main" count="544" uniqueCount="285">
  <si>
    <t>Use the API Emissions Factors for Aggragate Handling</t>
  </si>
  <si>
    <t>Assumptions</t>
  </si>
  <si>
    <t>U</t>
  </si>
  <si>
    <t>average wind speed (m/s)</t>
  </si>
  <si>
    <t>M</t>
  </si>
  <si>
    <t>moisture content percent</t>
  </si>
  <si>
    <t>Section 13.2.4 -Aggregate Handling And Storage Piles</t>
  </si>
  <si>
    <t>U (mph)</t>
  </si>
  <si>
    <t>U (m/s)</t>
  </si>
  <si>
    <t>M (%)</t>
  </si>
  <si>
    <t>Table 13.2.4-1 in Section 13.2.4, value for Clay in Municipal Landfills</t>
  </si>
  <si>
    <t>k</t>
  </si>
  <si>
    <t>particle size mutiplier</t>
  </si>
  <si>
    <t>From table underneath equation assume particles less than 15 um are respirable</t>
  </si>
  <si>
    <t>m3</t>
  </si>
  <si>
    <t>Bulk Density</t>
  </si>
  <si>
    <t>kg/m3</t>
  </si>
  <si>
    <t>kg per load</t>
  </si>
  <si>
    <t>E</t>
  </si>
  <si>
    <t>kg released per load</t>
  </si>
  <si>
    <t>Area (m2)</t>
  </si>
  <si>
    <t>Air Mixing Height (m)</t>
  </si>
  <si>
    <t>Concentrations</t>
  </si>
  <si>
    <t>U-238</t>
  </si>
  <si>
    <t>pCi/g</t>
  </si>
  <si>
    <t>Th-230</t>
  </si>
  <si>
    <t>Ra-226</t>
  </si>
  <si>
    <t>Ra-228</t>
  </si>
  <si>
    <t>Th-232</t>
  </si>
  <si>
    <t>Pb-210</t>
  </si>
  <si>
    <t>Radionulide</t>
  </si>
  <si>
    <t>U-234</t>
  </si>
  <si>
    <t>Th-228</t>
  </si>
  <si>
    <t>U-238+D</t>
  </si>
  <si>
    <t>Ra-226+D</t>
  </si>
  <si>
    <t>Pb-210+D</t>
  </si>
  <si>
    <t>Ra-228+D</t>
  </si>
  <si>
    <t>Th-228+D</t>
  </si>
  <si>
    <t xml:space="preserve">Dose Coefficients, RESRAD defaults based on DOE-1196 </t>
  </si>
  <si>
    <t>Inhalation</t>
  </si>
  <si>
    <t>Ingestion</t>
  </si>
  <si>
    <t>(mrem/pCi)</t>
  </si>
  <si>
    <t>Inhalation Rate</t>
  </si>
  <si>
    <t>m3/day</t>
  </si>
  <si>
    <t>m3/hr</t>
  </si>
  <si>
    <t>Removal Rate Constant (1/s)</t>
  </si>
  <si>
    <t>Radionuclide</t>
  </si>
  <si>
    <t>Calculate time-integrated Concentration (pCi-hr/m3) per disposal</t>
  </si>
  <si>
    <t>Inhalation ED per disposal (mrem)</t>
  </si>
  <si>
    <t>Total</t>
  </si>
  <si>
    <t>Ingestion ED per disposal (mrem)</t>
  </si>
  <si>
    <t>Soil Ingestion Rate</t>
  </si>
  <si>
    <t>mg/disposal</t>
  </si>
  <si>
    <t>Total ED per disposal (mrem)</t>
  </si>
  <si>
    <t>Exposure rate (urem/hr)</t>
  </si>
  <si>
    <t>Total Ra-226_228 Concentration (based on 2.02 urem/hr per pCi/g)</t>
  </si>
  <si>
    <t>Ra-226/Ra-228</t>
  </si>
  <si>
    <t>Calculated Initial Screening Concentrations in Air per Disposal (pCi/m3)</t>
  </si>
  <si>
    <t>Representative</t>
  </si>
  <si>
    <t>Representative(b)</t>
  </si>
  <si>
    <t>Representitive</t>
  </si>
  <si>
    <t>Offsite Inhalation Dose Calcualtions</t>
  </si>
  <si>
    <t>Inhalation Rate (m3/d)</t>
  </si>
  <si>
    <t>Distance (m)</t>
  </si>
  <si>
    <t>Main Office</t>
  </si>
  <si>
    <t>School</t>
  </si>
  <si>
    <t>Receptor</t>
  </si>
  <si>
    <t>So Office</t>
  </si>
  <si>
    <t>X/Q calculated with Gaussian Plume model, Ground-level release, PG dispersion coeffcients</t>
  </si>
  <si>
    <t>N/A</t>
  </si>
  <si>
    <t>E (kg/load)</t>
  </si>
  <si>
    <t>Source Concentrations (pCi/g)</t>
  </si>
  <si>
    <t>Radionuclide Release (pCi), 2 m/s</t>
  </si>
  <si>
    <t>Radionuclide Release (pCi), 4 m/s</t>
  </si>
  <si>
    <t>Time-integrated concentration, F&amp;2 (pCi-s/m3)</t>
  </si>
  <si>
    <t>X/Q (F and 2), s/m3</t>
  </si>
  <si>
    <t>X/Q (D and 4), s/m3</t>
  </si>
  <si>
    <t>300 m</t>
  </si>
  <si>
    <t>400 m</t>
  </si>
  <si>
    <t>700 m</t>
  </si>
  <si>
    <t>Time-integrated concentration, D&amp;4 (pCi-s/m3)</t>
  </si>
  <si>
    <t>Dose Calculations</t>
  </si>
  <si>
    <t>Inhalation Rate (m3/hr)</t>
  </si>
  <si>
    <t>Dose Coeffcients (from Inh&amp;Ing sheet)</t>
  </si>
  <si>
    <t>Inh (mrem/pCi)</t>
  </si>
  <si>
    <t>ED for F and 2 m/s (mrem per disposal)</t>
  </si>
  <si>
    <t>ED for D and 4 m/s (mrem per disposal)</t>
  </si>
  <si>
    <t>F&amp;2</t>
  </si>
  <si>
    <t>D&amp;4</t>
  </si>
  <si>
    <t>Inhalation and Ingestion for Worker</t>
  </si>
  <si>
    <t>Waste Thickness</t>
  </si>
  <si>
    <t>m</t>
  </si>
  <si>
    <t>See GroundwaterModelingParameters.xls</t>
  </si>
  <si>
    <t>Assumed</t>
  </si>
  <si>
    <t>g/cc</t>
  </si>
  <si>
    <t>Porosity</t>
  </si>
  <si>
    <t>Particle Density</t>
  </si>
  <si>
    <t>Emanation fraction</t>
  </si>
  <si>
    <t>cm^2/s</t>
  </si>
  <si>
    <t>Lambda</t>
  </si>
  <si>
    <t>s-1</t>
  </si>
  <si>
    <t>tanh term</t>
  </si>
  <si>
    <t>Bare Flux for unit C</t>
  </si>
  <si>
    <t>pCi/m2-s for 1 pCi/g</t>
  </si>
  <si>
    <t>Waste parameters</t>
  </si>
  <si>
    <t>Cover Parameters</t>
  </si>
  <si>
    <t>Thickness</t>
  </si>
  <si>
    <t>Effective D, waste</t>
  </si>
  <si>
    <t>Fixed values</t>
  </si>
  <si>
    <t>Calculated Values</t>
  </si>
  <si>
    <t>Effective D, cover</t>
  </si>
  <si>
    <t>Saturation Frac, Cover</t>
  </si>
  <si>
    <t>Saturation Frac, Waste</t>
  </si>
  <si>
    <t>at</t>
  </si>
  <si>
    <t>ac</t>
  </si>
  <si>
    <t>bt</t>
  </si>
  <si>
    <t>bc</t>
  </si>
  <si>
    <t>cm-1</t>
  </si>
  <si>
    <t>Cover Flux for unit C</t>
  </si>
  <si>
    <t>Terms</t>
  </si>
  <si>
    <t>Surface Flux (pCi/m2-s)</t>
  </si>
  <si>
    <t>pCi/m2-s per pCi/g</t>
  </si>
  <si>
    <t>from Eq 13 in NUREG/CR-3533</t>
  </si>
  <si>
    <t>Moisture dry Wt%</t>
  </si>
  <si>
    <t>Variable</t>
  </si>
  <si>
    <t>inches</t>
  </si>
  <si>
    <t>Ra-226 and Ra-228 assumed in brine sludge (Page 5 Basic Understanding of NORMS.PDF)</t>
  </si>
  <si>
    <t>Exposure rate estimaued from total radium -based on 2.02 urem/hr per pCi/g</t>
  </si>
  <si>
    <t>b. See Representative Concentration sheet</t>
  </si>
  <si>
    <t>Ra-226 (pCi/g)</t>
  </si>
  <si>
    <t>Ra-228 (pCi/g)</t>
  </si>
  <si>
    <t>Average Conc in bulk waste</t>
  </si>
  <si>
    <t>Fraction of Total</t>
  </si>
  <si>
    <t>Mass (kg)</t>
  </si>
  <si>
    <t>Inventory</t>
  </si>
  <si>
    <t>Inventory (Ci)</t>
  </si>
  <si>
    <t>Mass&gt;&gt;&gt;(kg)</t>
  </si>
  <si>
    <t>U-238/Ra-226</t>
  </si>
  <si>
    <t>Th-230/Ra-226</t>
  </si>
  <si>
    <t>Th-232/Ra-228</t>
  </si>
  <si>
    <t>Loads 5-40</t>
  </si>
  <si>
    <t>Loads 41-51</t>
  </si>
  <si>
    <t>Concentrations In Waste by Generator</t>
  </si>
  <si>
    <t>Wt Avg Conc (pCi/g)</t>
  </si>
  <si>
    <t>Derivation of Representative Concentrations</t>
  </si>
  <si>
    <t>Weighted Average Conc</t>
  </si>
  <si>
    <t>LexingtonKYClimateData.xlsx (http://www.climate-zone.com/climate/united-states/kentucky/lexington/)</t>
  </si>
  <si>
    <t>Calculated</t>
  </si>
  <si>
    <t xml:space="preserve">Assumed compacted waste desensite - see GroundwaterModelingParmaeters.xls </t>
  </si>
  <si>
    <t>Total Area</t>
  </si>
  <si>
    <t>m^2</t>
  </si>
  <si>
    <t>See GroundwaterModeling Parameters.xls</t>
  </si>
  <si>
    <t>Total Flux (pCi/s)</t>
  </si>
  <si>
    <t>Transit Times</t>
  </si>
  <si>
    <t>t (seconds)</t>
  </si>
  <si>
    <t>Wind speed (m/s)</t>
  </si>
  <si>
    <t>Time(s)</t>
  </si>
  <si>
    <t>Rn-222</t>
  </si>
  <si>
    <t>Po-218</t>
  </si>
  <si>
    <t>Pb-214</t>
  </si>
  <si>
    <t>Bi-214</t>
  </si>
  <si>
    <t>EEC</t>
  </si>
  <si>
    <t>F&amp;2, RadonConc (pCi/L)</t>
  </si>
  <si>
    <t>D&amp;4 Radon Conc (pCi/L)</t>
  </si>
  <si>
    <t>X/Q Values (s/m3), Conc, and WL</t>
  </si>
  <si>
    <t>Maximim EEC</t>
  </si>
  <si>
    <t>F&amp;2, WLM</t>
  </si>
  <si>
    <t>D&amp;4 WLM</t>
  </si>
  <si>
    <t>F&amp;2 Dose (mrem)</t>
  </si>
  <si>
    <t>D&amp;4 Dose (mrem)</t>
  </si>
  <si>
    <t>Dose factor</t>
  </si>
  <si>
    <t>mrem/WLM - Yu et al. Section C.5.1, pg 169</t>
  </si>
  <si>
    <t>y0</t>
  </si>
  <si>
    <t>&lt;&lt;&lt;&lt; x0 (m)</t>
  </si>
  <si>
    <t>Assume 170 hrs/month x 9 months</t>
  </si>
  <si>
    <t>U-238/U-234</t>
  </si>
  <si>
    <t>Basis</t>
  </si>
  <si>
    <t>Cambrian (a)</t>
  </si>
  <si>
    <t>Nuverra (b)</t>
  </si>
  <si>
    <t>Pb-210 (c)</t>
  </si>
  <si>
    <t>Th-228 (d)</t>
  </si>
  <si>
    <t>c. Pb-210 is assumed to have a 3-year ingrowth period, Pb210/Ra226 ratio:</t>
  </si>
  <si>
    <t>d. Th-228 assumed to have a 3-year ingrowth period, Th228/Ra-228 ratio:</t>
  </si>
  <si>
    <t>Description</t>
  </si>
  <si>
    <t>% total by mass of TENORM</t>
  </si>
  <si>
    <t>rem/Ci</t>
  </si>
  <si>
    <t>Total ED for 92 disposals (mrem)</t>
  </si>
  <si>
    <t>ED for 92 loads (mrem)</t>
  </si>
  <si>
    <t>EEC Equil</t>
  </si>
  <si>
    <t>Calculated annual-average concentration (pCi/m3)</t>
  </si>
  <si>
    <t>Radium Conc (pCi/g)</t>
  </si>
  <si>
    <t>Ra-226 conc (pCi/g)</t>
  </si>
  <si>
    <t>waste</t>
  </si>
  <si>
    <t>Meas in soil</t>
  </si>
  <si>
    <t>Length of source</t>
  </si>
  <si>
    <t>Average Based on all inventory in one block</t>
  </si>
  <si>
    <t>Fairmont (f)</t>
  </si>
  <si>
    <t>Fairmont (g)</t>
  </si>
  <si>
    <t>(f)</t>
  </si>
  <si>
    <t>(g)</t>
  </si>
  <si>
    <t>Estimated Ra-226 and Ra-228 Concentrations in Fairmont Brine</t>
  </si>
  <si>
    <t>Exposure rate data in "Fairmont Brine Data", p11/36 and PADEP Microshield conversion 2.02 urem/hr per pCi/g total Ra, see "source term_(8-1-16).xlsx", sheet tab 'FBP container TENORM survey' and "MicroshieldSummaryResults.xls"</t>
  </si>
  <si>
    <t>"Fairmont Brine Data.pdf", pg 30/36 - measurements from a single sample</t>
  </si>
  <si>
    <t>Greenhunter (e)</t>
  </si>
  <si>
    <t>Nuverra (h)</t>
  </si>
  <si>
    <t>Nuverra (i)</t>
  </si>
  <si>
    <t>Nuverra (k)</t>
  </si>
  <si>
    <t>Radionuclide (pCi/g)</t>
  </si>
  <si>
    <t>Loads 1-4</t>
  </si>
  <si>
    <t>Loads 52-79</t>
  </si>
  <si>
    <t>Load 80</t>
  </si>
  <si>
    <t>Load 81</t>
  </si>
  <si>
    <t>Load 82</t>
  </si>
  <si>
    <t>Load 83</t>
  </si>
  <si>
    <t>Load 84</t>
  </si>
  <si>
    <t>Load 85</t>
  </si>
  <si>
    <t>Load 86</t>
  </si>
  <si>
    <t>Load 87</t>
  </si>
  <si>
    <t>Loads 88-91</t>
  </si>
  <si>
    <t>Load 92</t>
  </si>
  <si>
    <t>Load info in "source term_(8-1-16).xlsx", sheet tab 'individual loads'</t>
  </si>
  <si>
    <t>b. Nuverra based on "Rolloffs_Profile.pdf"</t>
  </si>
  <si>
    <t>h. Nuverra data based on "3647886_1 - NV0000043-55 Production Documents.pdf"</t>
  </si>
  <si>
    <t>i. Nuverra data based on "Bag Filters Profile.pdf"</t>
  </si>
  <si>
    <t>k. Nuverra data based on "Blue Ridge Disposals Back-up Documents.pdf"</t>
  </si>
  <si>
    <t>NOTE: When only Ra-226/228 concentrations are provided, remaining radionuclides are calculated with the activity ratios shown below, calculated based on filter sock sample (M-001)</t>
  </si>
  <si>
    <t>Material</t>
  </si>
  <si>
    <t>Units</t>
  </si>
  <si>
    <t>K-40</t>
  </si>
  <si>
    <t>filter sock</t>
  </si>
  <si>
    <t>total FBP</t>
  </si>
  <si>
    <t>b. See RepresentativeConcentrationRev2</t>
  </si>
  <si>
    <t>Generator</t>
  </si>
  <si>
    <t>Loads</t>
  </si>
  <si>
    <t>1-4</t>
  </si>
  <si>
    <t>52-79</t>
  </si>
  <si>
    <t>88-91</t>
  </si>
  <si>
    <t>5-40</t>
  </si>
  <si>
    <t>41-51</t>
  </si>
  <si>
    <r>
      <t xml:space="preserve">a. Cambrian based on info in "3648893_1 - CW0000001-26 Production Documents.pdf"; </t>
    </r>
    <r>
      <rPr>
        <sz val="10"/>
        <color theme="1"/>
        <rFont val="Arial"/>
        <family val="2"/>
      </rPr>
      <t>Remaining radionuclides based on ratios</t>
    </r>
  </si>
  <si>
    <t>Table Data</t>
  </si>
  <si>
    <t>Total Mass</t>
  </si>
  <si>
    <t>e. Greenhunter is average concentration based on radioanalyticals in file :160624081341_0001.pdf", reamaning radionuclides based on ratios</t>
  </si>
  <si>
    <t>External Doses to Site Worker who assures all TENORM is removed from truck</t>
  </si>
  <si>
    <t>Contact Exposure Rate based on Microshield Calculations using the representiative inventory per shipment (see MicroshieldSummaryResults.xls)</t>
  </si>
  <si>
    <t>Worker</t>
  </si>
  <si>
    <t>Exposure rate 1-m from truck (mrem/hr)</t>
  </si>
  <si>
    <t>Exposure rate 1-m from unshielded waste (mrem/hr)</t>
  </si>
  <si>
    <t>Total Dose Per shipment (mrem)</t>
  </si>
  <si>
    <t>Exposure time in front of truck with shielded waste (hr)</t>
  </si>
  <si>
    <t>Exposure time in front of unshieled waste (hr, 5 minutes)</t>
  </si>
  <si>
    <t>Total Dose for 92 shipments (mrem)</t>
  </si>
  <si>
    <t>Buldozer Operater</t>
  </si>
  <si>
    <t>Exposure time  (hr)</t>
  </si>
  <si>
    <t>Exposure rate inside cab (mrem/hr)</t>
  </si>
  <si>
    <t>Total dose per shipment (mrem)</t>
  </si>
  <si>
    <t>Total dose for 92 shipments</t>
  </si>
  <si>
    <t>(assume 330 mg/day, exposure time for 1 disposal = 0.25 hr</t>
  </si>
  <si>
    <t>Emissions for each load</t>
  </si>
  <si>
    <t>Total mass</t>
  </si>
  <si>
    <t>From RepresentativeConcentrationRev2</t>
  </si>
  <si>
    <t>Calculated from total extimated volume and total waste mass</t>
  </si>
  <si>
    <t>kg</t>
  </si>
  <si>
    <t>Total Vol</t>
  </si>
  <si>
    <t>Vol per load</t>
  </si>
  <si>
    <t>Mass per load</t>
  </si>
  <si>
    <t>Pile height (m)</t>
  </si>
  <si>
    <t>Air Volume (m3)</t>
  </si>
  <si>
    <t>All disposals</t>
  </si>
  <si>
    <t>Mixing Cell Volume, differece between pile height and eight of mixing cell</t>
  </si>
  <si>
    <t>Buffer distance (m)</t>
  </si>
  <si>
    <t>Length of a side of pile (m)</t>
  </si>
  <si>
    <t>Length of mixing cell (m)</t>
  </si>
  <si>
    <t>Q (pCi)</t>
  </si>
  <si>
    <t>Value typical uranium mill tailings</t>
  </si>
  <si>
    <t>10-year old Dose Coefficients from RESRAD based on ICRP 72</t>
  </si>
  <si>
    <t>10-year old child</t>
  </si>
  <si>
    <t>Child</t>
  </si>
  <si>
    <t>Inhalation rate child (m3/d)</t>
  </si>
  <si>
    <t>Hours Exposed Office Worker</t>
  </si>
  <si>
    <t>Assume 170 hrs/month x 12 months</t>
  </si>
  <si>
    <t>Hours Exposed Student/Teacher</t>
  </si>
  <si>
    <t>Hours Exposed Future Public</t>
  </si>
  <si>
    <t>Assumed 24hrs/day, 350 days/yr</t>
  </si>
  <si>
    <t>Future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</si>
</sst>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E+00"/>
    <numFmt numFmtId="167" formatCode="0.0000"/>
    <numFmt numFmtId="168" formatCode="0.000E+00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rgb="FFFA7D0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D0AAE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</borders>
  <cellStyleXfs count="10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2" borderId="1" applyNumberFormat="0" applyAlignment="0" applyProtection="0"/>
    <xf numFmtId="0" fontId="7" fillId="3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3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11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6" fontId="0" fillId="0" borderId="0" xfId="0" quotePrefix="1" applyNumberFormat="1"/>
    <xf numFmtId="0" fontId="0" fillId="0" borderId="0" xfId="0" applyFont="1"/>
    <xf numFmtId="0" fontId="5" fillId="0" borderId="0" xfId="0" applyFont="1"/>
    <xf numFmtId="165" fontId="0" fillId="0" borderId="0" xfId="0" applyNumberFormat="1"/>
    <xf numFmtId="0" fontId="7" fillId="3" borderId="1" xfId="280"/>
    <xf numFmtId="11" fontId="7" fillId="3" borderId="1" xfId="280" applyNumberFormat="1"/>
    <xf numFmtId="0" fontId="6" fillId="2" borderId="1" xfId="279"/>
    <xf numFmtId="11" fontId="6" fillId="2" borderId="1" xfId="279" applyNumberFormat="1"/>
    <xf numFmtId="166" fontId="0" fillId="0" borderId="0" xfId="0" applyNumberFormat="1"/>
    <xf numFmtId="0" fontId="9" fillId="0" borderId="0" xfId="583"/>
    <xf numFmtId="0" fontId="9" fillId="0" borderId="0" xfId="583" applyFill="1"/>
    <xf numFmtId="0" fontId="10" fillId="0" borderId="0" xfId="0" applyFont="1"/>
    <xf numFmtId="0" fontId="2" fillId="0" borderId="0" xfId="583" applyFont="1"/>
    <xf numFmtId="0" fontId="12" fillId="0" borderId="0" xfId="583" applyFont="1"/>
    <xf numFmtId="0" fontId="13" fillId="0" borderId="0" xfId="583" applyFont="1" applyFill="1"/>
    <xf numFmtId="0" fontId="8" fillId="0" borderId="0" xfId="583" applyFont="1"/>
    <xf numFmtId="0" fontId="9" fillId="0" borderId="0" xfId="583" applyAlignment="1">
      <alignment horizontal="right"/>
    </xf>
    <xf numFmtId="0" fontId="14" fillId="0" borderId="0" xfId="0" applyFont="1" applyFill="1"/>
    <xf numFmtId="0" fontId="2" fillId="4" borderId="0" xfId="583" applyFont="1" applyFill="1" applyAlignment="1">
      <alignment horizontal="center" vertical="center"/>
    </xf>
    <xf numFmtId="0" fontId="2" fillId="5" borderId="0" xfId="583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0" xfId="583" applyFont="1" applyAlignment="1">
      <alignment horizontal="center" vertical="center"/>
    </xf>
    <xf numFmtId="11" fontId="2" fillId="4" borderId="0" xfId="583" applyNumberFormat="1" applyFont="1" applyFill="1" applyAlignment="1">
      <alignment horizontal="center" vertical="center"/>
    </xf>
    <xf numFmtId="11" fontId="2" fillId="5" borderId="0" xfId="583" applyNumberFormat="1" applyFont="1" applyFill="1" applyAlignment="1">
      <alignment horizontal="center" vertical="center"/>
    </xf>
    <xf numFmtId="11" fontId="2" fillId="6" borderId="0" xfId="583" applyNumberFormat="1" applyFont="1" applyFill="1" applyAlignment="1">
      <alignment horizontal="center" vertical="center"/>
    </xf>
    <xf numFmtId="11" fontId="15" fillId="7" borderId="0" xfId="0" applyNumberFormat="1" applyFont="1" applyFill="1" applyAlignment="1">
      <alignment horizontal="center" vertical="center"/>
    </xf>
    <xf numFmtId="11" fontId="15" fillId="8" borderId="0" xfId="0" applyNumberFormat="1" applyFont="1" applyFill="1" applyAlignment="1">
      <alignment horizontal="center" vertical="center"/>
    </xf>
    <xf numFmtId="11" fontId="15" fillId="9" borderId="0" xfId="0" applyNumberFormat="1" applyFont="1" applyFill="1" applyAlignment="1">
      <alignment horizontal="center" vertical="center"/>
    </xf>
    <xf numFmtId="11" fontId="15" fillId="0" borderId="0" xfId="0" applyNumberFormat="1" applyFont="1" applyFill="1" applyAlignment="1">
      <alignment horizontal="center" vertical="center"/>
    </xf>
    <xf numFmtId="11" fontId="2" fillId="0" borderId="0" xfId="583" applyNumberFormat="1" applyFont="1" applyAlignment="1">
      <alignment horizontal="center" vertical="center"/>
    </xf>
    <xf numFmtId="0" fontId="9" fillId="0" borderId="0" xfId="583" applyAlignment="1">
      <alignment vertical="center" wrapText="1"/>
    </xf>
    <xf numFmtId="0" fontId="9" fillId="4" borderId="0" xfId="583" applyFill="1" applyAlignment="1">
      <alignment horizontal="center" vertical="center" wrapText="1"/>
    </xf>
    <xf numFmtId="0" fontId="9" fillId="5" borderId="0" xfId="583" applyFill="1" applyAlignment="1">
      <alignment horizontal="center" vertical="center" wrapText="1"/>
    </xf>
    <xf numFmtId="0" fontId="9" fillId="6" borderId="0" xfId="583" applyFill="1" applyAlignment="1">
      <alignment horizontal="center" vertical="center" wrapText="1"/>
    </xf>
    <xf numFmtId="0" fontId="9" fillId="7" borderId="0" xfId="583" applyFill="1" applyAlignment="1">
      <alignment horizontal="center" vertical="center" wrapText="1"/>
    </xf>
    <xf numFmtId="0" fontId="9" fillId="8" borderId="0" xfId="583" applyFill="1" applyAlignment="1">
      <alignment horizontal="center" vertical="center" wrapText="1"/>
    </xf>
    <xf numFmtId="0" fontId="9" fillId="9" borderId="0" xfId="583" applyFill="1" applyAlignment="1">
      <alignment horizontal="center" vertical="center" wrapText="1"/>
    </xf>
    <xf numFmtId="0" fontId="9" fillId="0" borderId="0" xfId="583" applyFill="1" applyAlignment="1">
      <alignment horizontal="center" vertical="center" wrapText="1"/>
    </xf>
    <xf numFmtId="0" fontId="7" fillId="3" borderId="1" xfId="702" applyAlignment="1">
      <alignment vertical="center"/>
    </xf>
    <xf numFmtId="0" fontId="7" fillId="3" borderId="1" xfId="702" applyAlignment="1">
      <alignment vertical="center" wrapText="1"/>
    </xf>
    <xf numFmtId="0" fontId="9" fillId="0" borderId="0" xfId="583" applyAlignment="1">
      <alignment vertical="center"/>
    </xf>
    <xf numFmtId="11" fontId="9" fillId="4" borderId="0" xfId="583" applyNumberFormat="1" applyFill="1" applyAlignment="1">
      <alignment horizontal="center"/>
    </xf>
    <xf numFmtId="11" fontId="9" fillId="5" borderId="0" xfId="583" applyNumberFormat="1" applyFill="1" applyAlignment="1">
      <alignment horizontal="center"/>
    </xf>
    <xf numFmtId="11" fontId="9" fillId="6" borderId="0" xfId="583" applyNumberFormat="1" applyFill="1" applyAlignment="1">
      <alignment horizontal="center"/>
    </xf>
    <xf numFmtId="11" fontId="9" fillId="7" borderId="0" xfId="583" applyNumberFormat="1" applyFill="1" applyAlignment="1">
      <alignment horizontal="center"/>
    </xf>
    <xf numFmtId="11" fontId="9" fillId="8" borderId="0" xfId="583" applyNumberFormat="1" applyFill="1" applyAlignment="1">
      <alignment horizontal="center"/>
    </xf>
    <xf numFmtId="11" fontId="9" fillId="9" borderId="0" xfId="583" applyNumberFormat="1" applyFill="1" applyAlignment="1">
      <alignment horizontal="center"/>
    </xf>
    <xf numFmtId="11" fontId="9" fillId="0" borderId="0" xfId="583" applyNumberFormat="1" applyFill="1" applyAlignment="1">
      <alignment horizontal="center"/>
    </xf>
    <xf numFmtId="0" fontId="7" fillId="3" borderId="1" xfId="702"/>
    <xf numFmtId="11" fontId="7" fillId="3" borderId="1" xfId="702" applyNumberFormat="1"/>
    <xf numFmtId="11" fontId="0" fillId="6" borderId="0" xfId="0" applyNumberFormat="1" applyFill="1" applyBorder="1" applyAlignment="1">
      <alignment horizontal="center" vertical="center"/>
    </xf>
    <xf numFmtId="0" fontId="11" fillId="0" borderId="0" xfId="583" applyFont="1"/>
    <xf numFmtId="0" fontId="16" fillId="0" borderId="0" xfId="583" applyFont="1"/>
    <xf numFmtId="0" fontId="9" fillId="6" borderId="0" xfId="583" applyFill="1"/>
    <xf numFmtId="0" fontId="1" fillId="7" borderId="0" xfId="583" applyFont="1" applyFill="1"/>
    <xf numFmtId="0" fontId="1" fillId="8" borderId="0" xfId="583" applyFont="1" applyFill="1"/>
    <xf numFmtId="0" fontId="9" fillId="0" borderId="0" xfId="583" applyBorder="1"/>
    <xf numFmtId="0" fontId="2" fillId="0" borderId="2" xfId="583" applyFont="1" applyBorder="1"/>
    <xf numFmtId="0" fontId="9" fillId="0" borderId="3" xfId="583" applyBorder="1"/>
    <xf numFmtId="0" fontId="9" fillId="0" borderId="4" xfId="583" applyBorder="1"/>
    <xf numFmtId="0" fontId="9" fillId="0" borderId="5" xfId="583" applyBorder="1"/>
    <xf numFmtId="167" fontId="9" fillId="0" borderId="0" xfId="583" applyNumberFormat="1" applyBorder="1" applyAlignment="1">
      <alignment horizontal="center"/>
    </xf>
    <xf numFmtId="0" fontId="9" fillId="0" borderId="6" xfId="583" applyBorder="1"/>
    <xf numFmtId="0" fontId="9" fillId="0" borderId="5" xfId="583" applyFill="1" applyBorder="1"/>
    <xf numFmtId="167" fontId="9" fillId="0" borderId="0" xfId="583" applyNumberFormat="1" applyFill="1" applyBorder="1" applyAlignment="1">
      <alignment horizontal="center"/>
    </xf>
    <xf numFmtId="0" fontId="9" fillId="0" borderId="0" xfId="583" applyFill="1" applyBorder="1"/>
    <xf numFmtId="0" fontId="2" fillId="0" borderId="2" xfId="583" applyFont="1" applyBorder="1" applyAlignment="1">
      <alignment horizontal="left"/>
    </xf>
    <xf numFmtId="0" fontId="2" fillId="0" borderId="3" xfId="583" applyFont="1" applyBorder="1" applyAlignment="1">
      <alignment horizontal="left"/>
    </xf>
    <xf numFmtId="0" fontId="2" fillId="0" borderId="3" xfId="583" applyFont="1" applyBorder="1" applyAlignment="1">
      <alignment horizontal="center"/>
    </xf>
    <xf numFmtId="0" fontId="2" fillId="0" borderId="4" xfId="583" applyFont="1" applyBorder="1" applyAlignment="1">
      <alignment horizontal="center"/>
    </xf>
    <xf numFmtId="0" fontId="9" fillId="0" borderId="7" xfId="583" applyBorder="1" applyAlignment="1">
      <alignment horizontal="left"/>
    </xf>
    <xf numFmtId="0" fontId="9" fillId="0" borderId="8" xfId="583" applyBorder="1" applyAlignment="1">
      <alignment horizontal="left"/>
    </xf>
    <xf numFmtId="0" fontId="9" fillId="0" borderId="8" xfId="583" applyBorder="1" applyAlignment="1">
      <alignment horizontal="center"/>
    </xf>
    <xf numFmtId="0" fontId="9" fillId="0" borderId="9" xfId="583" applyBorder="1" applyAlignment="1">
      <alignment horizontal="center"/>
    </xf>
    <xf numFmtId="0" fontId="9" fillId="0" borderId="7" xfId="583" applyBorder="1"/>
    <xf numFmtId="167" fontId="9" fillId="0" borderId="8" xfId="583" applyNumberFormat="1" applyBorder="1" applyAlignment="1">
      <alignment horizontal="center"/>
    </xf>
    <xf numFmtId="0" fontId="9" fillId="0" borderId="8" xfId="583" applyBorder="1"/>
    <xf numFmtId="0" fontId="9" fillId="0" borderId="9" xfId="583" applyBorder="1"/>
    <xf numFmtId="0" fontId="9" fillId="0" borderId="2" xfId="583" applyBorder="1"/>
    <xf numFmtId="10" fontId="9" fillId="0" borderId="0" xfId="583" applyNumberFormat="1" applyBorder="1"/>
    <xf numFmtId="10" fontId="9" fillId="0" borderId="6" xfId="583" applyNumberFormat="1" applyBorder="1"/>
    <xf numFmtId="0" fontId="7" fillId="3" borderId="10" xfId="702" applyBorder="1" applyAlignment="1">
      <alignment horizontal="right"/>
    </xf>
    <xf numFmtId="10" fontId="7" fillId="3" borderId="10" xfId="702" applyNumberFormat="1" applyBorder="1"/>
    <xf numFmtId="11" fontId="9" fillId="0" borderId="0" xfId="583" applyNumberFormat="1"/>
    <xf numFmtId="168" fontId="9" fillId="0" borderId="0" xfId="583" applyNumberFormat="1"/>
    <xf numFmtId="0" fontId="0" fillId="0" borderId="0" xfId="583" applyFont="1"/>
    <xf numFmtId="0" fontId="9" fillId="0" borderId="0" xfId="583" applyAlignment="1">
      <alignment horizontal="center"/>
    </xf>
    <xf numFmtId="0" fontId="0" fillId="0" borderId="0" xfId="583" quotePrefix="1" applyFont="1" applyAlignment="1">
      <alignment horizontal="center"/>
    </xf>
    <xf numFmtId="16" fontId="0" fillId="0" borderId="0" xfId="583" quotePrefix="1" applyNumberFormat="1" applyFont="1" applyAlignment="1">
      <alignment horizontal="center"/>
    </xf>
    <xf numFmtId="0" fontId="1" fillId="4" borderId="0" xfId="583" applyFont="1" applyFill="1"/>
    <xf numFmtId="0" fontId="0" fillId="5" borderId="0" xfId="583" applyFont="1" applyFill="1"/>
    <xf numFmtId="0" fontId="0" fillId="9" borderId="0" xfId="583" applyFont="1" applyFill="1"/>
    <xf numFmtId="167" fontId="7" fillId="3" borderId="1" xfId="280" applyNumberFormat="1"/>
    <xf numFmtId="2" fontId="9" fillId="0" borderId="0" xfId="583" applyNumberFormat="1"/>
    <xf numFmtId="11" fontId="9" fillId="0" borderId="0" xfId="583" applyNumberFormat="1" applyFill="1" applyAlignment="1"/>
    <xf numFmtId="11" fontId="9" fillId="0" borderId="0" xfId="583" applyNumberFormat="1" applyAlignment="1"/>
  </cellXfs>
  <cellStyles count="1079">
    <cellStyle name="Calculation" xfId="280" builtinId="22"/>
    <cellStyle name="Calculation 2" xfId="702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Input" xfId="279" builtinId="20"/>
    <cellStyle name="Normal" xfId="0" builtinId="0"/>
    <cellStyle name="Normal 3" xfId="58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7" Type="http://schemas.openxmlformats.org/officeDocument/2006/relationships/theme" Target="theme/theme1.xml" />
  <Relationship Id="rId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10" Type="http://schemas.openxmlformats.org/officeDocument/2006/relationships/calcChain" Target="calcChain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457200</xdr:colOff>
          <xdr:row>1</xdr:row>
          <xdr:rowOff>76200</xdr:rowOff>
        </xdr:from>
        <xdr:to>
          <xdr:col>8</xdr:col>
          <xdr:colOff>390525</xdr:colOff>
          <xdr:row>7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oleObject" Target="../embeddings/oleObject1.bin" />
  <Relationship Id="rId2" Type="http://schemas.openxmlformats.org/officeDocument/2006/relationships/vmlDrawing" Target="../drawings/vmlDrawing1.vml" />
  <Relationship Id="rId1" Type="http://schemas.openxmlformats.org/officeDocument/2006/relationships/drawing" Target="../drawings/drawing1.xml" />
  <Relationship Id="rId4" Type="http://schemas.openxmlformats.org/officeDocument/2006/relationships/image" Target="../media/image1.emf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2"/>
  <sheetViews>
    <sheetView tabSelected="1" zoomScale="150" zoomScaleNormal="150" zoomScalePageLayoutView="150" workbookViewId="0">
      <selection activeCell="C134" sqref="C134"/>
    </sheetView>
  </sheetViews>
  <sheetFormatPr defaultColWidth="11.42578125" defaultRowHeight="12.75" x14ac:dyDescent="0.2"/>
  <cols>
    <col min="2" max="2" width="11" bestFit="1" customWidth="1"/>
    <col min="3" max="3" width="12" bestFit="1" customWidth="1"/>
    <col min="4" max="4" width="11" bestFit="1" customWidth="1"/>
  </cols>
  <sheetData>
    <row r="1" spans="1:4" x14ac:dyDescent="0.2">
      <c r="A1" s="2" t="s">
        <v>89</v>
      </c>
    </row>
    <row r="2" spans="1:4" x14ac:dyDescent="0.2">
      <c r="A2" s="2" t="s">
        <v>1</v>
      </c>
    </row>
    <row r="3" spans="1:4" x14ac:dyDescent="0.2">
      <c r="A3" t="s">
        <v>0</v>
      </c>
    </row>
    <row r="4" spans="1:4" x14ac:dyDescent="0.2">
      <c r="A4" t="s">
        <v>6</v>
      </c>
    </row>
    <row r="6" spans="1:4" x14ac:dyDescent="0.2">
      <c r="A6" t="s">
        <v>2</v>
      </c>
      <c r="B6" t="s">
        <v>3</v>
      </c>
    </row>
    <row r="7" spans="1:4" x14ac:dyDescent="0.2">
      <c r="A7" t="s">
        <v>4</v>
      </c>
      <c r="B7" t="s">
        <v>5</v>
      </c>
    </row>
    <row r="8" spans="1:4" x14ac:dyDescent="0.2">
      <c r="A8" t="s">
        <v>11</v>
      </c>
      <c r="B8" t="s">
        <v>12</v>
      </c>
    </row>
    <row r="9" spans="1:4" x14ac:dyDescent="0.2">
      <c r="A9" t="s">
        <v>7</v>
      </c>
      <c r="B9">
        <v>9.1</v>
      </c>
      <c r="C9" t="s">
        <v>146</v>
      </c>
    </row>
    <row r="10" spans="1:4" x14ac:dyDescent="0.2">
      <c r="A10" t="s">
        <v>8</v>
      </c>
      <c r="B10">
        <v>4.0677000000000003</v>
      </c>
    </row>
    <row r="12" spans="1:4" x14ac:dyDescent="0.2">
      <c r="A12" t="s">
        <v>9</v>
      </c>
      <c r="B12">
        <v>10</v>
      </c>
      <c r="C12" t="s">
        <v>10</v>
      </c>
    </row>
    <row r="13" spans="1:4" x14ac:dyDescent="0.2">
      <c r="A13" t="s">
        <v>11</v>
      </c>
      <c r="B13">
        <v>0.48</v>
      </c>
      <c r="C13" t="s">
        <v>13</v>
      </c>
    </row>
    <row r="15" spans="1:4" x14ac:dyDescent="0.2">
      <c r="A15" s="2" t="s">
        <v>258</v>
      </c>
    </row>
    <row r="16" spans="1:4" x14ac:dyDescent="0.2">
      <c r="A16" t="s">
        <v>259</v>
      </c>
      <c r="B16" s="15">
        <f>RepresentitiveConcentrationRev2!Q11</f>
        <v>1049839.8412500001</v>
      </c>
      <c r="C16" t="s">
        <v>262</v>
      </c>
      <c r="D16" t="s">
        <v>260</v>
      </c>
    </row>
    <row r="17" spans="1:4" x14ac:dyDescent="0.2">
      <c r="A17" t="s">
        <v>263</v>
      </c>
      <c r="B17" s="1">
        <f>B16/B19</f>
        <v>1179.5953272471911</v>
      </c>
      <c r="C17" t="s">
        <v>14</v>
      </c>
    </row>
    <row r="18" spans="1:4" x14ac:dyDescent="0.2">
      <c r="A18" t="s">
        <v>264</v>
      </c>
      <c r="B18" s="1">
        <f>B17/92</f>
        <v>12.821688339643382</v>
      </c>
      <c r="C18" t="s">
        <v>14</v>
      </c>
    </row>
    <row r="19" spans="1:4" x14ac:dyDescent="0.2">
      <c r="A19" t="s">
        <v>15</v>
      </c>
      <c r="B19">
        <v>890</v>
      </c>
      <c r="C19" t="s">
        <v>16</v>
      </c>
      <c r="D19" t="s">
        <v>261</v>
      </c>
    </row>
    <row r="20" spans="1:4" x14ac:dyDescent="0.2">
      <c r="A20" t="s">
        <v>265</v>
      </c>
      <c r="B20">
        <f>B19*B18</f>
        <v>11411.30262228261</v>
      </c>
      <c r="C20" t="s">
        <v>17</v>
      </c>
    </row>
    <row r="22" spans="1:4" x14ac:dyDescent="0.2">
      <c r="A22" t="s">
        <v>18</v>
      </c>
      <c r="B22">
        <f>B13*0.0016*((B10/2.2)^1.3)/((B12/2)^1.4)*B20/1000</f>
        <v>2.0471164199486551E-3</v>
      </c>
      <c r="C22" t="s">
        <v>19</v>
      </c>
    </row>
    <row r="24" spans="1:4" x14ac:dyDescent="0.2">
      <c r="A24" s="2" t="s">
        <v>269</v>
      </c>
    </row>
    <row r="25" spans="1:4" x14ac:dyDescent="0.2">
      <c r="A25">
        <v>1.5</v>
      </c>
      <c r="B25" t="s">
        <v>266</v>
      </c>
    </row>
    <row r="26" spans="1:4" x14ac:dyDescent="0.2">
      <c r="A26">
        <v>0.5</v>
      </c>
      <c r="B26" t="s">
        <v>270</v>
      </c>
    </row>
    <row r="27" spans="1:4" x14ac:dyDescent="0.2">
      <c r="A27">
        <f>B18/A25</f>
        <v>8.5477922264289212</v>
      </c>
      <c r="B27" t="s">
        <v>20</v>
      </c>
    </row>
    <row r="28" spans="1:4" x14ac:dyDescent="0.2">
      <c r="A28">
        <f>SQRT(A27)</f>
        <v>2.923660757753697</v>
      </c>
      <c r="B28" t="s">
        <v>271</v>
      </c>
    </row>
    <row r="29" spans="1:4" x14ac:dyDescent="0.2">
      <c r="A29">
        <f>A28+A26</f>
        <v>3.423660757753697</v>
      </c>
      <c r="B29" t="s">
        <v>272</v>
      </c>
    </row>
    <row r="30" spans="1:4" x14ac:dyDescent="0.2">
      <c r="A30">
        <v>2</v>
      </c>
      <c r="B30" t="s">
        <v>21</v>
      </c>
    </row>
    <row r="31" spans="1:4" x14ac:dyDescent="0.2">
      <c r="A31" s="1">
        <f>(A29^2)*A30-B18</f>
        <v>10.621217628721856</v>
      </c>
      <c r="B31" t="s">
        <v>267</v>
      </c>
    </row>
    <row r="32" spans="1:4" x14ac:dyDescent="0.2">
      <c r="A32">
        <f>B10/A29</f>
        <v>1.1881142110203888</v>
      </c>
      <c r="B32" t="s">
        <v>45</v>
      </c>
    </row>
    <row r="34" spans="1:7" ht="25.5" x14ac:dyDescent="0.2">
      <c r="A34" s="2" t="s">
        <v>22</v>
      </c>
      <c r="B34" s="3"/>
      <c r="C34" s="3" t="s">
        <v>59</v>
      </c>
      <c r="D34" s="2" t="s">
        <v>24</v>
      </c>
    </row>
    <row r="35" spans="1:7" x14ac:dyDescent="0.2">
      <c r="A35" t="s">
        <v>23</v>
      </c>
      <c r="C35" s="4">
        <f>RepresentitiveConcentrationRev2!S13</f>
        <v>13.339805958745147</v>
      </c>
    </row>
    <row r="36" spans="1:7" x14ac:dyDescent="0.2">
      <c r="A36" t="s">
        <v>31</v>
      </c>
      <c r="C36" s="4">
        <f>RepresentitiveConcentrationRev2!S14</f>
        <v>13.339805958745147</v>
      </c>
    </row>
    <row r="37" spans="1:7" x14ac:dyDescent="0.2">
      <c r="A37" t="s">
        <v>25</v>
      </c>
      <c r="C37" s="4">
        <f>RepresentitiveConcentrationRev2!S15</f>
        <v>169.08066811907429</v>
      </c>
    </row>
    <row r="38" spans="1:7" x14ac:dyDescent="0.2">
      <c r="A38" t="s">
        <v>26</v>
      </c>
      <c r="C38" s="4">
        <f>RepresentitiveConcentrationRev2!S16</f>
        <v>163.04207282910733</v>
      </c>
    </row>
    <row r="39" spans="1:7" x14ac:dyDescent="0.2">
      <c r="A39" t="s">
        <v>29</v>
      </c>
      <c r="B39" s="5"/>
      <c r="C39" s="4">
        <f>RepresentitiveConcentrationRev2!S17</f>
        <v>14.524735375593952</v>
      </c>
      <c r="D39" s="4"/>
    </row>
    <row r="40" spans="1:7" x14ac:dyDescent="0.2">
      <c r="A40" t="s">
        <v>28</v>
      </c>
      <c r="C40" s="4">
        <f>RepresentitiveConcentrationRev2!S18</f>
        <v>89.099416011314162</v>
      </c>
    </row>
    <row r="41" spans="1:7" x14ac:dyDescent="0.2">
      <c r="A41" t="s">
        <v>27</v>
      </c>
      <c r="C41" s="4">
        <f>RepresentitiveConcentrationRev2!S19</f>
        <v>60.841093535944886</v>
      </c>
    </row>
    <row r="42" spans="1:7" x14ac:dyDescent="0.2">
      <c r="A42" t="s">
        <v>32</v>
      </c>
      <c r="C42" s="4">
        <f>RepresentitiveConcentrationRev2!S20</f>
        <v>47.065586787031009</v>
      </c>
    </row>
    <row r="45" spans="1:7" x14ac:dyDescent="0.2">
      <c r="A45" t="s">
        <v>128</v>
      </c>
    </row>
    <row r="48" spans="1:7" x14ac:dyDescent="0.2">
      <c r="A48" s="2" t="s">
        <v>38</v>
      </c>
      <c r="G48" s="2" t="s">
        <v>275</v>
      </c>
    </row>
    <row r="49" spans="1:8" x14ac:dyDescent="0.2">
      <c r="B49" t="s">
        <v>39</v>
      </c>
      <c r="C49" t="s">
        <v>40</v>
      </c>
      <c r="E49" t="s">
        <v>40</v>
      </c>
      <c r="G49" t="s">
        <v>39</v>
      </c>
      <c r="H49" t="s">
        <v>40</v>
      </c>
    </row>
    <row r="50" spans="1:8" x14ac:dyDescent="0.2">
      <c r="A50" t="s">
        <v>30</v>
      </c>
      <c r="B50" t="s">
        <v>41</v>
      </c>
      <c r="C50" t="s">
        <v>41</v>
      </c>
      <c r="E50" t="s">
        <v>185</v>
      </c>
      <c r="G50" t="s">
        <v>41</v>
      </c>
      <c r="H50" t="s">
        <v>41</v>
      </c>
    </row>
    <row r="51" spans="1:8" x14ac:dyDescent="0.2">
      <c r="A51" t="s">
        <v>33</v>
      </c>
      <c r="B51" s="1">
        <v>3.2129999999999999E-2</v>
      </c>
      <c r="C51" s="1">
        <v>2.1340000000000001E-4</v>
      </c>
      <c r="E51" s="1">
        <f>C51/1000*1000000000000</f>
        <v>213400.00000000003</v>
      </c>
      <c r="G51" s="1">
        <v>3.7039999999999997E-2</v>
      </c>
      <c r="H51" s="1">
        <v>2.8269999999999999E-4</v>
      </c>
    </row>
    <row r="52" spans="1:8" x14ac:dyDescent="0.2">
      <c r="A52" t="s">
        <v>31</v>
      </c>
      <c r="B52" s="1">
        <v>3.7400000000000003E-2</v>
      </c>
      <c r="C52" s="1">
        <v>2.1499999999999999E-4</v>
      </c>
      <c r="E52" s="1">
        <f t="shared" ref="E52:E58" si="0">C52/1000*1000000000000</f>
        <v>215000</v>
      </c>
      <c r="G52" s="1">
        <v>4.4400000000000002E-2</v>
      </c>
      <c r="H52" s="1">
        <v>2.7379999999999999E-4</v>
      </c>
    </row>
    <row r="53" spans="1:8" x14ac:dyDescent="0.2">
      <c r="A53" t="s">
        <v>25</v>
      </c>
      <c r="B53" s="1">
        <v>0.38500000000000001</v>
      </c>
      <c r="C53" s="1">
        <v>9.3599999999999998E-4</v>
      </c>
      <c r="E53" s="1">
        <f t="shared" si="0"/>
        <v>936000</v>
      </c>
      <c r="G53" s="1">
        <v>0.40699999999999997</v>
      </c>
      <c r="H53" s="1">
        <v>8.8800000000000001E-4</v>
      </c>
    </row>
    <row r="54" spans="1:8" x14ac:dyDescent="0.2">
      <c r="A54" t="s">
        <v>34</v>
      </c>
      <c r="B54" s="1">
        <v>3.8219999999999997E-2</v>
      </c>
      <c r="C54" s="1">
        <v>1.681E-3</v>
      </c>
      <c r="E54" s="1">
        <f t="shared" si="0"/>
        <v>1681000</v>
      </c>
      <c r="G54" s="1">
        <v>4.4560000000000002E-2</v>
      </c>
      <c r="H54" s="1">
        <v>2.9619999999999998E-3</v>
      </c>
    </row>
    <row r="55" spans="1:8" x14ac:dyDescent="0.2">
      <c r="A55" t="s">
        <v>35</v>
      </c>
      <c r="B55" s="1">
        <v>4.0140000000000002E-2</v>
      </c>
      <c r="C55" s="1">
        <v>1.026E-2</v>
      </c>
      <c r="E55" s="1">
        <f t="shared" si="0"/>
        <v>10260000</v>
      </c>
      <c r="G55" s="1">
        <v>4.895E-2</v>
      </c>
      <c r="H55" s="1">
        <v>1.6660000000000001E-2</v>
      </c>
    </row>
    <row r="56" spans="1:8" x14ac:dyDescent="0.2">
      <c r="A56" t="s">
        <v>28</v>
      </c>
      <c r="B56" s="1">
        <v>0.42599999999999999</v>
      </c>
      <c r="C56" s="1">
        <v>1.0300000000000001E-3</v>
      </c>
      <c r="E56" s="1">
        <f t="shared" si="0"/>
        <v>1030000.0000000001</v>
      </c>
      <c r="G56" s="1">
        <v>0.48099999999999998</v>
      </c>
      <c r="H56" s="1">
        <v>1.073E-3</v>
      </c>
    </row>
    <row r="57" spans="1:8" x14ac:dyDescent="0.2">
      <c r="A57" t="s">
        <v>36</v>
      </c>
      <c r="B57" s="1">
        <v>6.336E-2</v>
      </c>
      <c r="C57" s="1">
        <v>5.9220000000000002E-3</v>
      </c>
      <c r="E57" s="1">
        <f t="shared" si="0"/>
        <v>5922000</v>
      </c>
      <c r="G57" s="1">
        <v>7.4209999999999998E-2</v>
      </c>
      <c r="H57" s="1">
        <v>1.443E-2</v>
      </c>
    </row>
    <row r="58" spans="1:8" x14ac:dyDescent="0.2">
      <c r="A58" t="s">
        <v>37</v>
      </c>
      <c r="B58" s="1">
        <v>0.1754</v>
      </c>
      <c r="C58" s="1">
        <v>9.3440000000000005E-4</v>
      </c>
      <c r="E58" s="1">
        <f t="shared" si="0"/>
        <v>934400</v>
      </c>
      <c r="G58" s="1">
        <v>0.22090000000000001</v>
      </c>
      <c r="H58" s="1">
        <v>1.5560000000000001E-3</v>
      </c>
    </row>
    <row r="60" spans="1:8" x14ac:dyDescent="0.2">
      <c r="A60" t="s">
        <v>42</v>
      </c>
      <c r="C60" t="s">
        <v>51</v>
      </c>
    </row>
    <row r="61" spans="1:8" x14ac:dyDescent="0.2">
      <c r="A61" s="13">
        <f>A62*24</f>
        <v>43.2</v>
      </c>
      <c r="B61" t="s">
        <v>43</v>
      </c>
      <c r="C61" s="14">
        <f>330/8*0.25</f>
        <v>10.3125</v>
      </c>
      <c r="D61" t="s">
        <v>52</v>
      </c>
      <c r="E61" t="s">
        <v>257</v>
      </c>
    </row>
    <row r="62" spans="1:8" x14ac:dyDescent="0.2">
      <c r="A62">
        <v>1.8</v>
      </c>
      <c r="B62" t="s">
        <v>44</v>
      </c>
    </row>
    <row r="64" spans="1:8" x14ac:dyDescent="0.2">
      <c r="A64" t="s">
        <v>57</v>
      </c>
    </row>
    <row r="65" spans="1:7" x14ac:dyDescent="0.2">
      <c r="A65" t="s">
        <v>46</v>
      </c>
      <c r="B65" t="s">
        <v>273</v>
      </c>
      <c r="C65" t="s">
        <v>60</v>
      </c>
    </row>
    <row r="66" spans="1:7" x14ac:dyDescent="0.2">
      <c r="A66" t="s">
        <v>23</v>
      </c>
      <c r="B66" s="1">
        <f>C35*$B$22*1000</f>
        <v>27.308135817076103</v>
      </c>
      <c r="C66" s="1">
        <f t="shared" ref="C66:C73" si="1">C35*$B$22*1000/$A$31</f>
        <v>2.5710927665420908</v>
      </c>
      <c r="D66" s="1"/>
    </row>
    <row r="67" spans="1:7" x14ac:dyDescent="0.2">
      <c r="A67" t="s">
        <v>31</v>
      </c>
      <c r="B67" s="1">
        <f t="shared" ref="B67:B73" si="2">C36*$B$22*1000</f>
        <v>27.308135817076103</v>
      </c>
      <c r="C67" s="1">
        <f t="shared" si="1"/>
        <v>2.5710927665420908</v>
      </c>
      <c r="D67" s="1"/>
    </row>
    <row r="68" spans="1:7" x14ac:dyDescent="0.2">
      <c r="A68" t="s">
        <v>25</v>
      </c>
      <c r="B68" s="1">
        <f t="shared" si="2"/>
        <v>346.12781200244609</v>
      </c>
      <c r="C68" s="1">
        <f t="shared" si="1"/>
        <v>32.588336300204276</v>
      </c>
      <c r="D68" s="1"/>
    </row>
    <row r="69" spans="1:7" x14ac:dyDescent="0.2">
      <c r="A69" t="s">
        <v>26</v>
      </c>
      <c r="B69" s="1">
        <f t="shared" si="2"/>
        <v>333.76610443093006</v>
      </c>
      <c r="C69" s="1">
        <f t="shared" si="1"/>
        <v>31.424467146625545</v>
      </c>
      <c r="D69" s="1"/>
    </row>
    <row r="70" spans="1:7" x14ac:dyDescent="0.2">
      <c r="A70" t="s">
        <v>29</v>
      </c>
      <c r="B70" s="1">
        <f t="shared" si="2"/>
        <v>29.733824282787477</v>
      </c>
      <c r="C70" s="1">
        <f t="shared" si="1"/>
        <v>2.799474158441249</v>
      </c>
      <c r="D70" s="1"/>
    </row>
    <row r="71" spans="1:7" x14ac:dyDescent="0.2">
      <c r="A71" t="s">
        <v>28</v>
      </c>
      <c r="B71" s="1">
        <f t="shared" si="2"/>
        <v>182.39687752459733</v>
      </c>
      <c r="C71" s="1">
        <f t="shared" si="1"/>
        <v>17.172878280109842</v>
      </c>
      <c r="D71" s="1"/>
    </row>
    <row r="72" spans="1:7" x14ac:dyDescent="0.2">
      <c r="A72" t="s">
        <v>27</v>
      </c>
      <c r="B72" s="1">
        <f t="shared" si="2"/>
        <v>124.54880158506477</v>
      </c>
      <c r="C72" s="1">
        <f t="shared" si="1"/>
        <v>11.726414610718489</v>
      </c>
      <c r="D72" s="1"/>
    </row>
    <row r="73" spans="1:7" x14ac:dyDescent="0.2">
      <c r="A73" t="s">
        <v>32</v>
      </c>
      <c r="B73" s="1">
        <f t="shared" si="2"/>
        <v>96.348735526249641</v>
      </c>
      <c r="C73" s="1">
        <f t="shared" si="1"/>
        <v>9.0713455739484861</v>
      </c>
      <c r="D73" s="1"/>
    </row>
    <row r="75" spans="1:7" x14ac:dyDescent="0.2">
      <c r="A75" t="s">
        <v>47</v>
      </c>
      <c r="G75" t="s">
        <v>189</v>
      </c>
    </row>
    <row r="76" spans="1:7" x14ac:dyDescent="0.2">
      <c r="A76" t="s">
        <v>46</v>
      </c>
      <c r="C76" t="s">
        <v>60</v>
      </c>
      <c r="G76" t="s">
        <v>60</v>
      </c>
    </row>
    <row r="77" spans="1:7" x14ac:dyDescent="0.2">
      <c r="A77" t="s">
        <v>23</v>
      </c>
      <c r="B77" s="1"/>
      <c r="C77" s="1">
        <f t="shared" ref="C77:C84" si="3">C66/($A$32*3600)</f>
        <v>6.011142940014248E-4</v>
      </c>
      <c r="D77" s="1"/>
      <c r="F77" t="str">
        <f>A77</f>
        <v>U-238</v>
      </c>
      <c r="G77" s="1">
        <f>C77*92/8760</f>
        <v>6.3130724940788902E-6</v>
      </c>
    </row>
    <row r="78" spans="1:7" x14ac:dyDescent="0.2">
      <c r="A78" t="s">
        <v>31</v>
      </c>
      <c r="B78" s="1"/>
      <c r="C78" s="1">
        <f t="shared" si="3"/>
        <v>6.011142940014248E-4</v>
      </c>
      <c r="D78" s="1"/>
      <c r="F78" t="str">
        <f t="shared" ref="F78:F84" si="4">A78</f>
        <v>U-234</v>
      </c>
      <c r="G78" s="1">
        <f t="shared" ref="G78:G84" si="5">C78*92/8760</f>
        <v>6.3130724940788902E-6</v>
      </c>
    </row>
    <row r="79" spans="1:7" x14ac:dyDescent="0.2">
      <c r="A79" t="s">
        <v>25</v>
      </c>
      <c r="B79" s="1"/>
      <c r="C79" s="1">
        <f t="shared" si="3"/>
        <v>7.6190618334336961E-3</v>
      </c>
      <c r="D79" s="1"/>
      <c r="F79" t="str">
        <f t="shared" si="4"/>
        <v>Th-230</v>
      </c>
      <c r="G79" s="1">
        <f t="shared" si="5"/>
        <v>8.0017544369394983E-5</v>
      </c>
    </row>
    <row r="80" spans="1:7" x14ac:dyDescent="0.2">
      <c r="A80" t="s">
        <v>26</v>
      </c>
      <c r="B80" s="1"/>
      <c r="C80" s="1">
        <f t="shared" si="3"/>
        <v>7.346952482239634E-3</v>
      </c>
      <c r="D80" s="1"/>
      <c r="F80" t="str">
        <f t="shared" si="4"/>
        <v>Ra-226</v>
      </c>
      <c r="G80" s="1">
        <f t="shared" si="5"/>
        <v>7.7159774927630865E-5</v>
      </c>
    </row>
    <row r="81" spans="1:7" x14ac:dyDescent="0.2">
      <c r="A81" t="s">
        <v>29</v>
      </c>
      <c r="B81" s="1"/>
      <c r="C81" s="1">
        <f t="shared" si="3"/>
        <v>6.5450922433649779E-4</v>
      </c>
      <c r="D81" s="1"/>
      <c r="F81" t="str">
        <f t="shared" si="4"/>
        <v>Pb-210</v>
      </c>
      <c r="G81" s="1">
        <f t="shared" si="5"/>
        <v>6.8738411688307991E-6</v>
      </c>
    </row>
    <row r="82" spans="1:7" x14ac:dyDescent="0.2">
      <c r="A82" t="s">
        <v>28</v>
      </c>
      <c r="B82" s="1"/>
      <c r="C82" s="1">
        <f t="shared" si="3"/>
        <v>4.0149708861746108E-3</v>
      </c>
      <c r="D82" s="1"/>
      <c r="F82" t="str">
        <f t="shared" si="4"/>
        <v>Th-232</v>
      </c>
      <c r="G82" s="1">
        <f t="shared" si="5"/>
        <v>4.2166360905030161E-5</v>
      </c>
    </row>
    <row r="83" spans="1:7" x14ac:dyDescent="0.2">
      <c r="A83" t="s">
        <v>27</v>
      </c>
      <c r="B83" s="1"/>
      <c r="C83" s="1">
        <f t="shared" si="3"/>
        <v>2.74160292137971E-3</v>
      </c>
      <c r="D83" s="1"/>
      <c r="F83" t="str">
        <f t="shared" si="4"/>
        <v>Ra-228</v>
      </c>
      <c r="G83" s="1">
        <f t="shared" si="5"/>
        <v>2.8793090041887365E-5</v>
      </c>
    </row>
    <row r="84" spans="1:7" x14ac:dyDescent="0.2">
      <c r="A84" t="s">
        <v>32</v>
      </c>
      <c r="B84" s="1"/>
      <c r="C84" s="1">
        <f t="shared" si="3"/>
        <v>2.1208552103939519E-3</v>
      </c>
      <c r="D84" s="1"/>
      <c r="F84" t="str">
        <f t="shared" si="4"/>
        <v>Th-228</v>
      </c>
      <c r="G84" s="1">
        <f t="shared" si="5"/>
        <v>2.2273821844320044E-5</v>
      </c>
    </row>
    <row r="86" spans="1:7" x14ac:dyDescent="0.2">
      <c r="A86" t="s">
        <v>48</v>
      </c>
    </row>
    <row r="87" spans="1:7" x14ac:dyDescent="0.2">
      <c r="A87" t="s">
        <v>46</v>
      </c>
      <c r="C87" t="s">
        <v>60</v>
      </c>
      <c r="E87" t="s">
        <v>268</v>
      </c>
    </row>
    <row r="88" spans="1:7" x14ac:dyDescent="0.2">
      <c r="A88" t="s">
        <v>23</v>
      </c>
      <c r="B88" s="1"/>
      <c r="C88" s="1">
        <f>C77*$A$62*$B51</f>
        <v>3.4764844079278404E-5</v>
      </c>
      <c r="D88" s="1"/>
      <c r="E88" s="1">
        <f>C88*92</f>
        <v>3.1983656552936131E-3</v>
      </c>
    </row>
    <row r="89" spans="1:7" x14ac:dyDescent="0.2">
      <c r="A89" t="s">
        <v>31</v>
      </c>
      <c r="B89" s="1"/>
      <c r="C89" s="1">
        <f t="shared" ref="C89" si="6">C78*$A$62*$B52</f>
        <v>4.046701427217592E-5</v>
      </c>
      <c r="D89" s="1"/>
      <c r="E89" s="1">
        <f t="shared" ref="E89:E96" si="7">C89*92</f>
        <v>3.7229653130401849E-3</v>
      </c>
    </row>
    <row r="90" spans="1:7" x14ac:dyDescent="0.2">
      <c r="A90" t="s">
        <v>25</v>
      </c>
      <c r="B90" s="1"/>
      <c r="C90" s="1">
        <f t="shared" ref="C90" si="8">C79*$A$62*$B53</f>
        <v>5.2800098505695519E-3</v>
      </c>
      <c r="D90" s="1"/>
      <c r="E90" s="1">
        <f t="shared" si="7"/>
        <v>0.48576090625239876</v>
      </c>
    </row>
    <row r="91" spans="1:7" x14ac:dyDescent="0.2">
      <c r="A91" t="s">
        <v>26</v>
      </c>
      <c r="B91" s="1"/>
      <c r="C91" s="1">
        <f t="shared" ref="C91" si="9">C80*$A$62*$B54</f>
        <v>5.0544094296815778E-4</v>
      </c>
      <c r="D91" s="1"/>
      <c r="E91" s="1">
        <f t="shared" si="7"/>
        <v>4.6500566753070516E-2</v>
      </c>
    </row>
    <row r="92" spans="1:7" x14ac:dyDescent="0.2">
      <c r="A92" t="s">
        <v>29</v>
      </c>
      <c r="B92" s="1"/>
      <c r="C92" s="1">
        <f t="shared" ref="C92" si="10">C81*$A$62*$B55</f>
        <v>4.7289600476760641E-5</v>
      </c>
      <c r="D92" s="1"/>
      <c r="E92" s="1">
        <f t="shared" si="7"/>
        <v>4.3506432438619787E-3</v>
      </c>
    </row>
    <row r="93" spans="1:7" x14ac:dyDescent="0.2">
      <c r="A93" t="s">
        <v>28</v>
      </c>
      <c r="B93" s="1"/>
      <c r="C93" s="1">
        <f t="shared" ref="C93" si="11">C82*$A$62*$B56</f>
        <v>3.0786796755186917E-3</v>
      </c>
      <c r="D93" s="1"/>
      <c r="E93" s="1">
        <f t="shared" si="7"/>
        <v>0.28323853014771966</v>
      </c>
    </row>
    <row r="94" spans="1:7" x14ac:dyDescent="0.2">
      <c r="A94" t="s">
        <v>27</v>
      </c>
      <c r="B94" s="1"/>
      <c r="C94" s="1">
        <f t="shared" ref="C94" si="12">C83*$A$62*$B57</f>
        <v>3.1267432997751318E-4</v>
      </c>
      <c r="D94" s="1"/>
      <c r="E94" s="1">
        <f t="shared" si="7"/>
        <v>2.8766038357931213E-2</v>
      </c>
    </row>
    <row r="95" spans="1:7" x14ac:dyDescent="0.2">
      <c r="A95" t="s">
        <v>32</v>
      </c>
      <c r="B95" s="1"/>
      <c r="C95" s="1">
        <f t="shared" ref="C95" si="13">C84*$A$62*$B58</f>
        <v>6.6959640702557856E-4</v>
      </c>
      <c r="D95" s="1"/>
      <c r="E95" s="1">
        <f t="shared" si="7"/>
        <v>6.160286944635323E-2</v>
      </c>
    </row>
    <row r="96" spans="1:7" x14ac:dyDescent="0.2">
      <c r="A96" t="s">
        <v>49</v>
      </c>
      <c r="B96" s="1"/>
      <c r="C96" s="1">
        <f>SUM(C88:C95)</f>
        <v>9.9689226648877072E-3</v>
      </c>
      <c r="D96" s="1"/>
      <c r="E96" s="1">
        <f t="shared" si="7"/>
        <v>0.91714088516966907</v>
      </c>
    </row>
    <row r="98" spans="1:5" x14ac:dyDescent="0.2">
      <c r="A98" t="s">
        <v>50</v>
      </c>
    </row>
    <row r="99" spans="1:5" x14ac:dyDescent="0.2">
      <c r="A99" t="s">
        <v>46</v>
      </c>
      <c r="C99" t="s">
        <v>60</v>
      </c>
      <c r="E99" t="s">
        <v>268</v>
      </c>
    </row>
    <row r="100" spans="1:5" x14ac:dyDescent="0.2">
      <c r="A100" t="s">
        <v>23</v>
      </c>
      <c r="B100" s="1"/>
      <c r="C100" s="1">
        <f t="shared" ref="C100:C107" si="14">C35*$C$61/1000*$C51</f>
        <v>2.9356744225835965E-5</v>
      </c>
      <c r="D100" s="1"/>
      <c r="E100" s="1">
        <f>C100*92</f>
        <v>2.7008204687769088E-3</v>
      </c>
    </row>
    <row r="101" spans="1:5" x14ac:dyDescent="0.2">
      <c r="A101" t="s">
        <v>31</v>
      </c>
      <c r="B101" s="1"/>
      <c r="C101" s="1">
        <f t="shared" si="14"/>
        <v>2.9576851024155256E-5</v>
      </c>
      <c r="D101" s="1"/>
      <c r="E101" s="1">
        <f t="shared" ref="E101:E108" si="15">C101*92</f>
        <v>2.7210702942222836E-3</v>
      </c>
    </row>
    <row r="102" spans="1:5" x14ac:dyDescent="0.2">
      <c r="A102" t="s">
        <v>25</v>
      </c>
      <c r="B102" s="1"/>
      <c r="C102" s="1">
        <f t="shared" si="14"/>
        <v>1.6320511490193644E-3</v>
      </c>
      <c r="D102" s="1"/>
      <c r="E102" s="1">
        <f t="shared" si="15"/>
        <v>0.15014870570978153</v>
      </c>
    </row>
    <row r="103" spans="1:5" x14ac:dyDescent="0.2">
      <c r="A103" t="s">
        <v>26</v>
      </c>
      <c r="B103" s="1"/>
      <c r="C103" s="1">
        <f t="shared" si="14"/>
        <v>2.8263852831403348E-3</v>
      </c>
      <c r="D103" s="1"/>
      <c r="E103" s="1">
        <f t="shared" si="15"/>
        <v>0.26002744604891082</v>
      </c>
    </row>
    <row r="104" spans="1:5" x14ac:dyDescent="0.2">
      <c r="A104" t="s">
        <v>29</v>
      </c>
      <c r="B104" s="1"/>
      <c r="C104" s="1">
        <f t="shared" si="14"/>
        <v>1.5368077823339377E-3</v>
      </c>
      <c r="D104" s="1"/>
      <c r="E104" s="1">
        <f t="shared" si="15"/>
        <v>0.14138631597472226</v>
      </c>
    </row>
    <row r="105" spans="1:5" x14ac:dyDescent="0.2">
      <c r="A105" t="s">
        <v>28</v>
      </c>
      <c r="B105" s="1"/>
      <c r="C105" s="1">
        <f t="shared" si="14"/>
        <v>9.4640285944517762E-4</v>
      </c>
      <c r="D105" s="1"/>
      <c r="E105" s="1">
        <f t="shared" si="15"/>
        <v>8.7069063068956343E-2</v>
      </c>
    </row>
    <row r="106" spans="1:5" x14ac:dyDescent="0.2">
      <c r="A106" t="s">
        <v>27</v>
      </c>
      <c r="B106" s="1"/>
      <c r="C106" s="1">
        <f t="shared" si="14"/>
        <v>3.7156036079236143E-3</v>
      </c>
      <c r="D106" s="1"/>
      <c r="E106" s="1">
        <f t="shared" si="15"/>
        <v>0.34183553192897254</v>
      </c>
    </row>
    <row r="107" spans="1:5" x14ac:dyDescent="0.2">
      <c r="A107" t="s">
        <v>32</v>
      </c>
      <c r="B107" s="1"/>
      <c r="C107" s="1">
        <f t="shared" si="14"/>
        <v>4.5352399427983083E-4</v>
      </c>
      <c r="D107" s="1"/>
      <c r="E107" s="1">
        <f t="shared" si="15"/>
        <v>4.1724207473744439E-2</v>
      </c>
    </row>
    <row r="108" spans="1:5" x14ac:dyDescent="0.2">
      <c r="A108" t="s">
        <v>49</v>
      </c>
      <c r="B108" s="1"/>
      <c r="C108" s="1">
        <f>SUM(C100:C107)</f>
        <v>1.1169708271392251E-2</v>
      </c>
      <c r="D108" s="1"/>
      <c r="E108" s="1">
        <f t="shared" si="15"/>
        <v>1.0276131609680872</v>
      </c>
    </row>
    <row r="110" spans="1:5" x14ac:dyDescent="0.2">
      <c r="A110" t="s">
        <v>53</v>
      </c>
    </row>
    <row r="111" spans="1:5" x14ac:dyDescent="0.2">
      <c r="A111" t="s">
        <v>46</v>
      </c>
      <c r="C111" t="s">
        <v>60</v>
      </c>
      <c r="E111" t="s">
        <v>268</v>
      </c>
    </row>
    <row r="112" spans="1:5" x14ac:dyDescent="0.2">
      <c r="A112" t="s">
        <v>23</v>
      </c>
      <c r="B112" s="1"/>
      <c r="C112" s="1">
        <f>C88+C100</f>
        <v>6.4121588305114373E-5</v>
      </c>
      <c r="D112" s="1"/>
      <c r="E112" s="1">
        <f>C112*92</f>
        <v>5.8991861240705219E-3</v>
      </c>
    </row>
    <row r="113" spans="1:5" x14ac:dyDescent="0.2">
      <c r="A113" t="s">
        <v>31</v>
      </c>
      <c r="B113" s="1"/>
      <c r="C113" s="1">
        <f t="shared" ref="C113:C120" si="16">C89+C101</f>
        <v>7.0043865296331176E-5</v>
      </c>
      <c r="D113" s="1"/>
      <c r="E113" s="1">
        <f t="shared" ref="E113:E120" si="17">C113*92</f>
        <v>6.4440356072624685E-3</v>
      </c>
    </row>
    <row r="114" spans="1:5" x14ac:dyDescent="0.2">
      <c r="A114" t="s">
        <v>25</v>
      </c>
      <c r="B114" s="1"/>
      <c r="C114" s="1">
        <f t="shared" si="16"/>
        <v>6.9120609995889162E-3</v>
      </c>
      <c r="D114" s="1"/>
      <c r="E114" s="1">
        <f t="shared" si="17"/>
        <v>0.63590961196218032</v>
      </c>
    </row>
    <row r="115" spans="1:5" x14ac:dyDescent="0.2">
      <c r="A115" t="s">
        <v>26</v>
      </c>
      <c r="B115" s="1"/>
      <c r="C115" s="1">
        <f t="shared" si="16"/>
        <v>3.3318262261084926E-3</v>
      </c>
      <c r="D115" s="1"/>
      <c r="E115" s="1">
        <f t="shared" si="17"/>
        <v>0.30652801280198133</v>
      </c>
    </row>
    <row r="116" spans="1:5" x14ac:dyDescent="0.2">
      <c r="A116" t="s">
        <v>29</v>
      </c>
      <c r="B116" s="1"/>
      <c r="C116" s="1">
        <f t="shared" si="16"/>
        <v>1.5840973828106983E-3</v>
      </c>
      <c r="D116" s="1"/>
      <c r="E116" s="1">
        <f t="shared" si="17"/>
        <v>0.14573695921858423</v>
      </c>
    </row>
    <row r="117" spans="1:5" x14ac:dyDescent="0.2">
      <c r="A117" t="s">
        <v>28</v>
      </c>
      <c r="B117" s="1"/>
      <c r="C117" s="1">
        <f t="shared" si="16"/>
        <v>4.0250825349638693E-3</v>
      </c>
      <c r="D117" s="1"/>
      <c r="E117" s="1">
        <f t="shared" si="17"/>
        <v>0.370307593216676</v>
      </c>
    </row>
    <row r="118" spans="1:5" x14ac:dyDescent="0.2">
      <c r="A118" t="s">
        <v>27</v>
      </c>
      <c r="B118" s="1"/>
      <c r="C118" s="1">
        <f t="shared" si="16"/>
        <v>4.0282779379011277E-3</v>
      </c>
      <c r="D118" s="1"/>
      <c r="E118" s="1">
        <f t="shared" si="17"/>
        <v>0.37060157028690377</v>
      </c>
    </row>
    <row r="119" spans="1:5" x14ac:dyDescent="0.2">
      <c r="A119" t="s">
        <v>32</v>
      </c>
      <c r="B119" s="1"/>
      <c r="C119" s="1">
        <f t="shared" si="16"/>
        <v>1.1231204013054095E-3</v>
      </c>
      <c r="D119" s="1"/>
      <c r="E119" s="1">
        <f t="shared" si="17"/>
        <v>0.10332707692009767</v>
      </c>
    </row>
    <row r="120" spans="1:5" x14ac:dyDescent="0.2">
      <c r="A120" t="s">
        <v>49</v>
      </c>
      <c r="B120" s="1"/>
      <c r="C120" s="1">
        <f t="shared" si="16"/>
        <v>2.1138630936279958E-2</v>
      </c>
      <c r="D120" s="1"/>
      <c r="E120" s="1">
        <f t="shared" si="17"/>
        <v>1.9447540461377562</v>
      </c>
    </row>
    <row r="122" spans="1:5" x14ac:dyDescent="0.2">
      <c r="A122" t="s">
        <v>186</v>
      </c>
    </row>
    <row r="123" spans="1:5" x14ac:dyDescent="0.2">
      <c r="A123" t="s">
        <v>46</v>
      </c>
      <c r="C123" t="s">
        <v>60</v>
      </c>
    </row>
    <row r="124" spans="1:5" x14ac:dyDescent="0.2">
      <c r="A124" t="s">
        <v>23</v>
      </c>
      <c r="B124" s="1"/>
      <c r="C124" s="1">
        <f t="shared" ref="C124" si="18">C112*92</f>
        <v>5.8991861240705219E-3</v>
      </c>
      <c r="D124" s="1"/>
    </row>
    <row r="125" spans="1:5" x14ac:dyDescent="0.2">
      <c r="A125" t="s">
        <v>31</v>
      </c>
      <c r="B125" s="1"/>
      <c r="C125" s="1">
        <f t="shared" ref="C125" si="19">C113*92</f>
        <v>6.4440356072624685E-3</v>
      </c>
      <c r="D125" s="1"/>
    </row>
    <row r="126" spans="1:5" x14ac:dyDescent="0.2">
      <c r="A126" t="s">
        <v>25</v>
      </c>
      <c r="B126" s="1"/>
      <c r="C126" s="1">
        <f t="shared" ref="C126" si="20">C114*92</f>
        <v>0.63590961196218032</v>
      </c>
      <c r="D126" s="1"/>
    </row>
    <row r="127" spans="1:5" x14ac:dyDescent="0.2">
      <c r="A127" t="s">
        <v>26</v>
      </c>
      <c r="B127" s="1"/>
      <c r="C127" s="1">
        <f t="shared" ref="C127" si="21">C115*92</f>
        <v>0.30652801280198133</v>
      </c>
      <c r="D127" s="1"/>
    </row>
    <row r="128" spans="1:5" x14ac:dyDescent="0.2">
      <c r="A128" t="s">
        <v>29</v>
      </c>
      <c r="B128" s="1"/>
      <c r="C128" s="1">
        <f t="shared" ref="C128" si="22">C116*92</f>
        <v>0.14573695921858423</v>
      </c>
      <c r="D128" s="1"/>
    </row>
    <row r="129" spans="1:4" x14ac:dyDescent="0.2">
      <c r="A129" t="s">
        <v>28</v>
      </c>
      <c r="B129" s="1"/>
      <c r="C129" s="1">
        <f t="shared" ref="C129" si="23">C117*92</f>
        <v>0.370307593216676</v>
      </c>
      <c r="D129" s="1"/>
    </row>
    <row r="130" spans="1:4" x14ac:dyDescent="0.2">
      <c r="A130" t="s">
        <v>27</v>
      </c>
      <c r="B130" s="1"/>
      <c r="C130" s="1">
        <f t="shared" ref="C130" si="24">C118*92</f>
        <v>0.37060157028690377</v>
      </c>
      <c r="D130" s="1"/>
    </row>
    <row r="131" spans="1:4" x14ac:dyDescent="0.2">
      <c r="A131" t="s">
        <v>32</v>
      </c>
      <c r="B131" s="1"/>
      <c r="C131" s="1">
        <f t="shared" ref="C131" si="25">C119*92</f>
        <v>0.10332707692009767</v>
      </c>
      <c r="D131" s="1"/>
    </row>
    <row r="132" spans="1:4" x14ac:dyDescent="0.2">
      <c r="A132" t="s">
        <v>49</v>
      </c>
      <c r="B132" s="1"/>
      <c r="C132" s="1">
        <f t="shared" ref="C132" si="26">C120*92</f>
        <v>1.9447540461377562</v>
      </c>
      <c r="D132" s="1"/>
    </row>
  </sheetData>
  <pageMargins left="0.75" right="0.75" top="1" bottom="1" header="0.5" footer="0.5"/>
  <pageSetup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>
              <from>
                <xdr:col>4</xdr:col>
                <xdr:colOff>457200</xdr:colOff>
                <xdr:row>1</xdr:row>
                <xdr:rowOff>76200</xdr:rowOff>
              </from>
              <to>
                <xdr:col>8</xdr:col>
                <xdr:colOff>390525</xdr:colOff>
                <xdr:row>7</xdr:row>
                <xdr:rowOff>38100</xdr:rowOff>
              </to>
            </anchor>
          </objectPr>
        </oleObject>
      </mc:Choice>
      <mc:Fallback>
        <oleObject progId="Equation.3" shapeId="102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zoomScale="150" zoomScaleNormal="150" zoomScalePageLayoutView="150" workbookViewId="0">
      <selection activeCell="A10" sqref="A10"/>
    </sheetView>
  </sheetViews>
  <sheetFormatPr defaultColWidth="11.42578125" defaultRowHeight="12.75" x14ac:dyDescent="0.2"/>
  <cols>
    <col min="1" max="1" width="12.28515625" bestFit="1" customWidth="1"/>
  </cols>
  <sheetData>
    <row r="1" spans="1:2" x14ac:dyDescent="0.2">
      <c r="A1" s="2" t="s">
        <v>243</v>
      </c>
    </row>
    <row r="2" spans="1:2" x14ac:dyDescent="0.2">
      <c r="A2" t="s">
        <v>244</v>
      </c>
    </row>
    <row r="4" spans="1:2" x14ac:dyDescent="0.2">
      <c r="A4" t="s">
        <v>245</v>
      </c>
    </row>
    <row r="5" spans="1:2" x14ac:dyDescent="0.2">
      <c r="A5">
        <v>0.25</v>
      </c>
      <c r="B5" t="s">
        <v>249</v>
      </c>
    </row>
    <row r="6" spans="1:2" x14ac:dyDescent="0.2">
      <c r="A6" s="1">
        <v>8.1500000000000003E-2</v>
      </c>
      <c r="B6" t="s">
        <v>246</v>
      </c>
    </row>
    <row r="7" spans="1:2" x14ac:dyDescent="0.2">
      <c r="A7">
        <f>5/60</f>
        <v>8.3333333333333329E-2</v>
      </c>
      <c r="B7" t="s">
        <v>250</v>
      </c>
    </row>
    <row r="8" spans="1:2" x14ac:dyDescent="0.2">
      <c r="A8" s="1">
        <v>0.11600000000000001</v>
      </c>
      <c r="B8" t="s">
        <v>247</v>
      </c>
    </row>
    <row r="9" spans="1:2" x14ac:dyDescent="0.2">
      <c r="A9" s="103">
        <f>A5*A6+A7*A8</f>
        <v>3.0041666666666668E-2</v>
      </c>
      <c r="B9" s="11" t="s">
        <v>248</v>
      </c>
    </row>
    <row r="10" spans="1:2" x14ac:dyDescent="0.2">
      <c r="A10" s="103">
        <f>A9*92</f>
        <v>2.7638333333333334</v>
      </c>
      <c r="B10" s="11" t="s">
        <v>251</v>
      </c>
    </row>
    <row r="12" spans="1:2" x14ac:dyDescent="0.2">
      <c r="A12" t="s">
        <v>252</v>
      </c>
    </row>
    <row r="13" spans="1:2" x14ac:dyDescent="0.2">
      <c r="A13">
        <v>0.5</v>
      </c>
      <c r="B13" t="s">
        <v>253</v>
      </c>
    </row>
    <row r="14" spans="1:2" x14ac:dyDescent="0.2">
      <c r="A14" s="1">
        <v>2.47E-2</v>
      </c>
      <c r="B14" t="s">
        <v>254</v>
      </c>
    </row>
    <row r="15" spans="1:2" x14ac:dyDescent="0.2">
      <c r="A15" s="11">
        <f>A13*A14</f>
        <v>1.235E-2</v>
      </c>
      <c r="B15" s="11" t="s">
        <v>255</v>
      </c>
    </row>
    <row r="16" spans="1:2" x14ac:dyDescent="0.2">
      <c r="A16" s="11">
        <f>A15*92</f>
        <v>1.1362000000000001</v>
      </c>
      <c r="B16" s="11" t="s">
        <v>256</v>
      </c>
    </row>
    <row r="32" spans="2:4" x14ac:dyDescent="0.2">
      <c r="B32" s="6"/>
      <c r="C32" s="6"/>
      <c r="D32" s="6"/>
    </row>
    <row r="33" spans="1:4" x14ac:dyDescent="0.2">
      <c r="B33" s="4"/>
      <c r="C33" s="10"/>
      <c r="D33" s="5"/>
    </row>
    <row r="34" spans="1:4" x14ac:dyDescent="0.2">
      <c r="A34" s="4"/>
      <c r="B34" s="4"/>
      <c r="C34" s="10"/>
      <c r="D34" s="5"/>
    </row>
    <row r="35" spans="1:4" x14ac:dyDescent="0.2">
      <c r="A35" s="4"/>
      <c r="B35" s="4"/>
      <c r="C35" s="10"/>
      <c r="D35" s="5"/>
    </row>
    <row r="36" spans="1:4" x14ac:dyDescent="0.2">
      <c r="A36" s="4"/>
      <c r="B36" s="4"/>
      <c r="C36" s="10"/>
      <c r="D36" s="5"/>
    </row>
    <row r="37" spans="1:4" x14ac:dyDescent="0.2">
      <c r="A37" s="4"/>
      <c r="B37" s="4"/>
      <c r="C37" s="10"/>
      <c r="D37" s="5"/>
    </row>
    <row r="43" spans="1:4" x14ac:dyDescent="0.2">
      <c r="B43" s="6"/>
      <c r="C43" s="6"/>
      <c r="D43" s="6"/>
    </row>
    <row r="44" spans="1:4" x14ac:dyDescent="0.2">
      <c r="A44" s="4"/>
    </row>
    <row r="63" spans="1:3" ht="15" x14ac:dyDescent="0.25">
      <c r="A63" s="18"/>
      <c r="B63" s="18"/>
      <c r="C63" s="18"/>
    </row>
    <row r="64" spans="1:3" x14ac:dyDescent="0.2">
      <c r="B64" s="1"/>
      <c r="C64" s="1"/>
    </row>
    <row r="65" spans="1:3" x14ac:dyDescent="0.2">
      <c r="B65" s="1"/>
      <c r="C65" s="1"/>
    </row>
    <row r="66" spans="1:3" x14ac:dyDescent="0.2">
      <c r="B66" s="1"/>
      <c r="C66" s="1"/>
    </row>
    <row r="67" spans="1:3" x14ac:dyDescent="0.2">
      <c r="B67" s="1"/>
      <c r="C67" s="1"/>
    </row>
    <row r="68" spans="1:3" x14ac:dyDescent="0.2">
      <c r="B68" s="1"/>
      <c r="C68" s="1"/>
    </row>
    <row r="71" spans="1:3" ht="15" x14ac:dyDescent="0.25">
      <c r="A71" s="18"/>
      <c r="B71" s="18"/>
      <c r="C71" s="18"/>
    </row>
    <row r="72" spans="1:3" x14ac:dyDescent="0.2">
      <c r="B72" s="1"/>
      <c r="C72" s="1"/>
    </row>
    <row r="73" spans="1:3" x14ac:dyDescent="0.2">
      <c r="B73" s="1"/>
      <c r="C73" s="1"/>
    </row>
    <row r="74" spans="1:3" x14ac:dyDescent="0.2">
      <c r="B74" s="1"/>
      <c r="C74" s="1"/>
    </row>
    <row r="75" spans="1:3" x14ac:dyDescent="0.2">
      <c r="B75" s="1"/>
      <c r="C75" s="1"/>
    </row>
    <row r="76" spans="1:3" x14ac:dyDescent="0.2">
      <c r="B76" s="1"/>
      <c r="C76" s="1"/>
    </row>
    <row r="79" spans="1:3" ht="15" x14ac:dyDescent="0.25">
      <c r="A79" s="18"/>
      <c r="B79" s="18"/>
      <c r="C79" s="18"/>
    </row>
    <row r="80" spans="1:3" x14ac:dyDescent="0.2">
      <c r="B80" s="1"/>
      <c r="C80" s="1"/>
    </row>
    <row r="81" spans="2:3" x14ac:dyDescent="0.2">
      <c r="B81" s="1"/>
      <c r="C81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93" zoomScale="150" zoomScaleNormal="150" zoomScalePageLayoutView="150" workbookViewId="0">
      <selection activeCell="I120" sqref="I120"/>
    </sheetView>
  </sheetViews>
  <sheetFormatPr defaultColWidth="11.42578125" defaultRowHeight="12.75" x14ac:dyDescent="0.2"/>
  <cols>
    <col min="1" max="1" width="12.7109375" customWidth="1"/>
  </cols>
  <sheetData>
    <row r="1" spans="1:6" x14ac:dyDescent="0.2">
      <c r="A1" s="2" t="s">
        <v>61</v>
      </c>
    </row>
    <row r="2" spans="1:6" x14ac:dyDescent="0.2">
      <c r="A2" t="s">
        <v>68</v>
      </c>
    </row>
    <row r="4" spans="1:6" ht="25.5" x14ac:dyDescent="0.2">
      <c r="A4" t="s">
        <v>66</v>
      </c>
      <c r="B4" t="s">
        <v>63</v>
      </c>
      <c r="C4" s="6" t="s">
        <v>75</v>
      </c>
      <c r="D4" s="6" t="s">
        <v>76</v>
      </c>
    </row>
    <row r="5" spans="1:6" x14ac:dyDescent="0.2">
      <c r="A5" t="s">
        <v>67</v>
      </c>
      <c r="B5">
        <v>300</v>
      </c>
      <c r="C5">
        <v>6.7486447895915101E-3</v>
      </c>
      <c r="D5" s="1">
        <v>3.8075697433670002E-4</v>
      </c>
    </row>
    <row r="6" spans="1:6" x14ac:dyDescent="0.2">
      <c r="A6" t="s">
        <v>64</v>
      </c>
      <c r="B6">
        <v>400</v>
      </c>
      <c r="C6">
        <v>4.1332945478224099E-3</v>
      </c>
      <c r="D6" s="1">
        <v>2.3149069212851801E-4</v>
      </c>
    </row>
    <row r="7" spans="1:6" x14ac:dyDescent="0.2">
      <c r="A7" t="s">
        <v>65</v>
      </c>
      <c r="B7">
        <v>700</v>
      </c>
      <c r="C7">
        <v>1.59949655303555E-3</v>
      </c>
      <c r="D7" s="1">
        <v>8.8064226289864196E-5</v>
      </c>
    </row>
    <row r="8" spans="1:6" x14ac:dyDescent="0.2">
      <c r="A8" t="s">
        <v>70</v>
      </c>
      <c r="B8" t="s">
        <v>69</v>
      </c>
      <c r="C8">
        <v>9.7004127843472194E-4</v>
      </c>
      <c r="D8">
        <f>'Inh&amp;Ing'!B22</f>
        <v>2.0471164199486551E-3</v>
      </c>
    </row>
    <row r="13" spans="1:6" x14ac:dyDescent="0.2">
      <c r="A13" s="2" t="s">
        <v>71</v>
      </c>
    </row>
    <row r="14" spans="1:6" ht="25.5" x14ac:dyDescent="0.2">
      <c r="A14" s="2" t="s">
        <v>46</v>
      </c>
      <c r="B14" s="3"/>
      <c r="C14" s="3" t="s">
        <v>59</v>
      </c>
      <c r="D14" s="2" t="s">
        <v>24</v>
      </c>
    </row>
    <row r="15" spans="1:6" x14ac:dyDescent="0.2">
      <c r="A15" t="s">
        <v>23</v>
      </c>
      <c r="C15" s="1">
        <f>RepresentitiveConcentrationRev2!S13</f>
        <v>13.339805958745147</v>
      </c>
      <c r="F15" s="4"/>
    </row>
    <row r="16" spans="1:6" x14ac:dyDescent="0.2">
      <c r="A16" t="s">
        <v>31</v>
      </c>
      <c r="C16" s="1">
        <f>RepresentitiveConcentrationRev2!S14</f>
        <v>13.339805958745147</v>
      </c>
      <c r="F16" s="4"/>
    </row>
    <row r="17" spans="1:6" x14ac:dyDescent="0.2">
      <c r="A17" t="s">
        <v>25</v>
      </c>
      <c r="C17" s="1">
        <f>RepresentitiveConcentrationRev2!S15</f>
        <v>169.08066811907429</v>
      </c>
      <c r="F17" s="4"/>
    </row>
    <row r="18" spans="1:6" x14ac:dyDescent="0.2">
      <c r="A18" t="s">
        <v>26</v>
      </c>
      <c r="C18" s="1">
        <f>RepresentitiveConcentrationRev2!S16</f>
        <v>163.04207282910733</v>
      </c>
      <c r="F18" s="4"/>
    </row>
    <row r="19" spans="1:6" x14ac:dyDescent="0.2">
      <c r="A19" t="s">
        <v>29</v>
      </c>
      <c r="B19" s="4"/>
      <c r="C19" s="1">
        <f>RepresentitiveConcentrationRev2!S17</f>
        <v>14.524735375593952</v>
      </c>
      <c r="D19" s="4"/>
      <c r="F19" s="4"/>
    </row>
    <row r="20" spans="1:6" x14ac:dyDescent="0.2">
      <c r="A20" t="s">
        <v>28</v>
      </c>
      <c r="C20" s="1">
        <f>RepresentitiveConcentrationRev2!S18</f>
        <v>89.099416011314162</v>
      </c>
      <c r="F20" s="4"/>
    </row>
    <row r="21" spans="1:6" x14ac:dyDescent="0.2">
      <c r="A21" t="s">
        <v>27</v>
      </c>
      <c r="C21" s="1">
        <f>RepresentitiveConcentrationRev2!S19</f>
        <v>60.841093535944886</v>
      </c>
      <c r="F21" s="4"/>
    </row>
    <row r="22" spans="1:6" x14ac:dyDescent="0.2">
      <c r="A22" t="s">
        <v>32</v>
      </c>
      <c r="C22" s="1">
        <f>RepresentitiveConcentrationRev2!S20</f>
        <v>47.065586787031009</v>
      </c>
      <c r="F22" s="4"/>
    </row>
    <row r="25" spans="1:6" x14ac:dyDescent="0.2">
      <c r="A25" t="s">
        <v>231</v>
      </c>
    </row>
    <row r="29" spans="1:6" x14ac:dyDescent="0.2">
      <c r="A29" s="2" t="s">
        <v>72</v>
      </c>
    </row>
    <row r="30" spans="1:6" ht="25.5" x14ac:dyDescent="0.2">
      <c r="A30" s="2" t="s">
        <v>46</v>
      </c>
      <c r="B30" s="3"/>
      <c r="C30" s="3" t="s">
        <v>58</v>
      </c>
      <c r="D30" s="3"/>
    </row>
    <row r="31" spans="1:6" x14ac:dyDescent="0.2">
      <c r="A31" t="s">
        <v>23</v>
      </c>
      <c r="B31" s="1"/>
      <c r="C31" s="1">
        <f t="shared" ref="C31" si="0">C15*1000*$C$8</f>
        <v>12.940162426292265</v>
      </c>
      <c r="D31" s="1"/>
    </row>
    <row r="32" spans="1:6" x14ac:dyDescent="0.2">
      <c r="A32" t="s">
        <v>31</v>
      </c>
      <c r="B32" s="1"/>
      <c r="C32" s="1">
        <f t="shared" ref="C32" si="1">C16*1000*$C$8</f>
        <v>12.940162426292265</v>
      </c>
      <c r="D32" s="1"/>
    </row>
    <row r="33" spans="1:4" x14ac:dyDescent="0.2">
      <c r="A33" t="s">
        <v>25</v>
      </c>
      <c r="B33" s="1"/>
      <c r="C33" s="1">
        <f t="shared" ref="C33" si="2">C17*1000*$C$8</f>
        <v>164.01522746082375</v>
      </c>
      <c r="D33" s="1"/>
    </row>
    <row r="34" spans="1:4" x14ac:dyDescent="0.2">
      <c r="A34" t="s">
        <v>26</v>
      </c>
      <c r="B34" s="1"/>
      <c r="C34" s="1">
        <f t="shared" ref="C34" si="3">C18*1000*$C$8</f>
        <v>158.15754076579429</v>
      </c>
      <c r="D34" s="1"/>
    </row>
    <row r="35" spans="1:4" x14ac:dyDescent="0.2">
      <c r="A35" t="s">
        <v>29</v>
      </c>
      <c r="B35" s="1"/>
      <c r="C35" s="1">
        <f t="shared" ref="C35" si="4">C19*1000*$C$8</f>
        <v>14.08959287266719</v>
      </c>
      <c r="D35" s="1"/>
    </row>
    <row r="36" spans="1:4" x14ac:dyDescent="0.2">
      <c r="A36" t="s">
        <v>28</v>
      </c>
      <c r="B36" s="1"/>
      <c r="C36" s="1">
        <f t="shared" ref="C36" si="5">C20*1000*$C$8</f>
        <v>86.430111415402322</v>
      </c>
      <c r="D36" s="1"/>
    </row>
    <row r="37" spans="1:4" x14ac:dyDescent="0.2">
      <c r="A37" t="s">
        <v>27</v>
      </c>
      <c r="B37" s="1"/>
      <c r="C37" s="1">
        <f t="shared" ref="C37" si="6">C21*1000*$C$8</f>
        <v>59.018372154974472</v>
      </c>
      <c r="D37" s="1"/>
    </row>
    <row r="38" spans="1:4" x14ac:dyDescent="0.2">
      <c r="A38" t="s">
        <v>32</v>
      </c>
      <c r="B38" s="1"/>
      <c r="C38" s="1">
        <f t="shared" ref="C38" si="7">C22*1000*$C$8</f>
        <v>45.655561977171921</v>
      </c>
      <c r="D38" s="1"/>
    </row>
    <row r="40" spans="1:4" x14ac:dyDescent="0.2">
      <c r="A40" s="2" t="s">
        <v>73</v>
      </c>
    </row>
    <row r="41" spans="1:4" ht="25.5" x14ac:dyDescent="0.2">
      <c r="A41" s="2" t="s">
        <v>46</v>
      </c>
      <c r="B41" s="3"/>
      <c r="C41" s="3" t="s">
        <v>58</v>
      </c>
      <c r="D41" s="3"/>
    </row>
    <row r="42" spans="1:4" x14ac:dyDescent="0.2">
      <c r="A42" t="s">
        <v>23</v>
      </c>
      <c r="B42" s="1"/>
      <c r="C42" s="1">
        <f t="shared" ref="C42" si="8">C15*1000*$D$8</f>
        <v>27.308135817076106</v>
      </c>
      <c r="D42" s="1"/>
    </row>
    <row r="43" spans="1:4" x14ac:dyDescent="0.2">
      <c r="A43" t="s">
        <v>31</v>
      </c>
      <c r="B43" s="1"/>
      <c r="C43" s="1">
        <f t="shared" ref="C43" si="9">C16*1000*$D$8</f>
        <v>27.308135817076106</v>
      </c>
      <c r="D43" s="1"/>
    </row>
    <row r="44" spans="1:4" x14ac:dyDescent="0.2">
      <c r="A44" t="s">
        <v>25</v>
      </c>
      <c r="B44" s="1"/>
      <c r="C44" s="1">
        <f t="shared" ref="C44" si="10">C17*1000*$D$8</f>
        <v>346.12781200244603</v>
      </c>
      <c r="D44" s="1"/>
    </row>
    <row r="45" spans="1:4" x14ac:dyDescent="0.2">
      <c r="A45" t="s">
        <v>26</v>
      </c>
      <c r="B45" s="1"/>
      <c r="C45" s="1">
        <f t="shared" ref="C45" si="11">C18*1000*$D$8</f>
        <v>333.76610443093006</v>
      </c>
      <c r="D45" s="1"/>
    </row>
    <row r="46" spans="1:4" x14ac:dyDescent="0.2">
      <c r="A46" t="s">
        <v>29</v>
      </c>
      <c r="B46" s="1"/>
      <c r="C46" s="1">
        <f t="shared" ref="C46" si="12">C19*1000*$D$8</f>
        <v>29.733824282787477</v>
      </c>
      <c r="D46" s="1"/>
    </row>
    <row r="47" spans="1:4" x14ac:dyDescent="0.2">
      <c r="A47" t="s">
        <v>28</v>
      </c>
      <c r="B47" s="1"/>
      <c r="C47" s="1">
        <f t="shared" ref="C47" si="13">C20*1000*$D$8</f>
        <v>182.39687752459733</v>
      </c>
      <c r="D47" s="1"/>
    </row>
    <row r="48" spans="1:4" x14ac:dyDescent="0.2">
      <c r="A48" t="s">
        <v>27</v>
      </c>
      <c r="B48" s="1"/>
      <c r="C48" s="1">
        <f t="shared" ref="C48" si="14">C21*1000*$D$8</f>
        <v>124.54880158506475</v>
      </c>
      <c r="D48" s="1"/>
    </row>
    <row r="49" spans="1:10" x14ac:dyDescent="0.2">
      <c r="A49" t="s">
        <v>32</v>
      </c>
      <c r="B49" s="1"/>
      <c r="C49" s="1">
        <f t="shared" ref="C49" si="15">C22*1000*$D$8</f>
        <v>96.348735526249655</v>
      </c>
      <c r="D49" s="1"/>
    </row>
    <row r="51" spans="1:10" x14ac:dyDescent="0.2">
      <c r="A51" s="2" t="s">
        <v>74</v>
      </c>
    </row>
    <row r="52" spans="1:10" x14ac:dyDescent="0.2">
      <c r="C52" t="s">
        <v>77</v>
      </c>
      <c r="F52" t="s">
        <v>78</v>
      </c>
      <c r="I52" t="s">
        <v>79</v>
      </c>
    </row>
    <row r="53" spans="1:10" ht="25.5" x14ac:dyDescent="0.2">
      <c r="A53" s="2" t="s">
        <v>46</v>
      </c>
      <c r="B53" s="3"/>
      <c r="C53" s="3" t="s">
        <v>58</v>
      </c>
      <c r="D53" s="3"/>
      <c r="E53" s="3"/>
      <c r="F53" s="3" t="s">
        <v>58</v>
      </c>
      <c r="G53" s="3"/>
      <c r="H53" s="3"/>
      <c r="I53" s="3" t="s">
        <v>58</v>
      </c>
      <c r="J53" s="3"/>
    </row>
    <row r="54" spans="1:10" x14ac:dyDescent="0.2">
      <c r="A54" t="s">
        <v>23</v>
      </c>
      <c r="B54" s="1"/>
      <c r="C54" s="1">
        <f t="shared" ref="C54" si="16">C31*$C$5</f>
        <v>8.732855973466512E-2</v>
      </c>
      <c r="D54" s="1"/>
      <c r="E54" s="1"/>
      <c r="F54" s="1">
        <f t="shared" ref="F54" si="17">C31*$C$6</f>
        <v>5.3485502804530224E-2</v>
      </c>
      <c r="G54" s="1"/>
      <c r="H54" s="1"/>
      <c r="I54" s="1">
        <f t="shared" ref="I54" si="18">C31*$C$7</f>
        <v>2.0697745196574618E-2</v>
      </c>
      <c r="J54" s="1"/>
    </row>
    <row r="55" spans="1:10" x14ac:dyDescent="0.2">
      <c r="A55" t="s">
        <v>31</v>
      </c>
      <c r="B55" s="1"/>
      <c r="C55" s="1">
        <f t="shared" ref="C55" si="19">C32*$C$5</f>
        <v>8.732855973466512E-2</v>
      </c>
      <c r="D55" s="1"/>
      <c r="E55" s="1"/>
      <c r="F55" s="1">
        <f t="shared" ref="F55" si="20">C32*$C$6</f>
        <v>5.3485502804530224E-2</v>
      </c>
      <c r="G55" s="1"/>
      <c r="H55" s="1"/>
      <c r="I55" s="1">
        <f t="shared" ref="I55" si="21">C32*$C$7</f>
        <v>2.0697745196574618E-2</v>
      </c>
      <c r="J55" s="1"/>
    </row>
    <row r="56" spans="1:10" x14ac:dyDescent="0.2">
      <c r="A56" t="s">
        <v>25</v>
      </c>
      <c r="B56" s="1"/>
      <c r="C56" s="1">
        <f t="shared" ref="C56" si="22">C33*$C$5</f>
        <v>1.1068805102171546</v>
      </c>
      <c r="D56" s="1"/>
      <c r="E56" s="1"/>
      <c r="F56" s="1">
        <f t="shared" ref="F56" si="23">C33*$C$6</f>
        <v>0.67792324542367521</v>
      </c>
      <c r="G56" s="1"/>
      <c r="H56" s="1"/>
      <c r="I56" s="1">
        <f t="shared" ref="I56" si="24">C33*$C$7</f>
        <v>0.26234179096892929</v>
      </c>
      <c r="J56" s="1"/>
    </row>
    <row r="57" spans="1:10" x14ac:dyDescent="0.2">
      <c r="A57" t="s">
        <v>26</v>
      </c>
      <c r="B57" s="1"/>
      <c r="C57" s="1">
        <f t="shared" ref="C57" si="25">C34*$C$5</f>
        <v>1.0673490634236844</v>
      </c>
      <c r="D57" s="1"/>
      <c r="E57" s="1"/>
      <c r="F57" s="1">
        <f t="shared" ref="F57" si="26">C34*$C$6</f>
        <v>0.65371170094425812</v>
      </c>
      <c r="G57" s="1"/>
      <c r="H57" s="1"/>
      <c r="I57" s="1">
        <f t="shared" ref="I57" si="27">C34*$C$7</f>
        <v>0.25297244129146745</v>
      </c>
      <c r="J57" s="1"/>
    </row>
    <row r="58" spans="1:10" x14ac:dyDescent="0.2">
      <c r="A58" t="s">
        <v>29</v>
      </c>
      <c r="B58" s="1"/>
      <c r="C58" s="1">
        <f t="shared" ref="C58" si="28">C35*$C$5</f>
        <v>9.50856575275911E-2</v>
      </c>
      <c r="D58" s="1"/>
      <c r="E58" s="1"/>
      <c r="F58" s="1">
        <f t="shared" ref="F58" si="29">C35*$C$6</f>
        <v>5.8236437401632778E-2</v>
      </c>
      <c r="G58" s="1"/>
      <c r="H58" s="1"/>
      <c r="I58" s="1">
        <f t="shared" ref="I58" si="30">C35*$C$7</f>
        <v>2.2536255233505425E-2</v>
      </c>
      <c r="J58" s="1"/>
    </row>
    <row r="59" spans="1:10" x14ac:dyDescent="0.2">
      <c r="A59" t="s">
        <v>28</v>
      </c>
      <c r="B59" s="1"/>
      <c r="C59" s="1">
        <f t="shared" ref="C59" si="31">C36*$C$5</f>
        <v>0.58328612106736855</v>
      </c>
      <c r="D59" s="1"/>
      <c r="E59" s="1"/>
      <c r="F59" s="1">
        <f t="shared" ref="F59" si="32">C36*$C$6</f>
        <v>0.35724110828096584</v>
      </c>
      <c r="G59" s="1"/>
      <c r="H59" s="1"/>
      <c r="I59" s="1">
        <f t="shared" ref="I59" si="33">C36*$C$7</f>
        <v>0.13824466528741455</v>
      </c>
      <c r="J59" s="1"/>
    </row>
    <row r="60" spans="1:10" x14ac:dyDescent="0.2">
      <c r="A60" t="s">
        <v>27</v>
      </c>
      <c r="B60" s="1"/>
      <c r="C60" s="1">
        <f t="shared" ref="C60" si="34">C37*$C$5</f>
        <v>0.39829402973384115</v>
      </c>
      <c r="D60" s="1"/>
      <c r="E60" s="1"/>
      <c r="F60" s="1">
        <f t="shared" ref="F60" si="35">C37*$C$6</f>
        <v>0.24394031584950993</v>
      </c>
      <c r="G60" s="1"/>
      <c r="H60" s="1"/>
      <c r="I60" s="1">
        <f t="shared" ref="I60" si="36">C37*$C$7</f>
        <v>9.439968282765096E-2</v>
      </c>
      <c r="J60" s="1"/>
    </row>
    <row r="61" spans="1:10" x14ac:dyDescent="0.2">
      <c r="A61" t="s">
        <v>32</v>
      </c>
      <c r="B61" s="1"/>
      <c r="C61" s="1">
        <f t="shared" ref="C61" si="37">C38*$C$5</f>
        <v>0.30811317045311354</v>
      </c>
      <c r="D61" s="1"/>
      <c r="E61" s="1"/>
      <c r="F61" s="1">
        <f t="shared" ref="F61" si="38">C38*$C$6</f>
        <v>0.18870788539801284</v>
      </c>
      <c r="G61" s="1"/>
      <c r="H61" s="1"/>
      <c r="I61" s="1">
        <f t="shared" ref="I61" si="39">C38*$C$7</f>
        <v>7.3025914009387405E-2</v>
      </c>
      <c r="J61" s="1"/>
    </row>
    <row r="63" spans="1:10" x14ac:dyDescent="0.2">
      <c r="A63" s="2" t="s">
        <v>80</v>
      </c>
    </row>
    <row r="64" spans="1:10" x14ac:dyDescent="0.2">
      <c r="C64" t="s">
        <v>77</v>
      </c>
      <c r="F64" t="s">
        <v>78</v>
      </c>
      <c r="I64" t="s">
        <v>79</v>
      </c>
    </row>
    <row r="65" spans="1:10" ht="25.5" x14ac:dyDescent="0.2">
      <c r="A65" s="2" t="s">
        <v>46</v>
      </c>
      <c r="B65" s="3"/>
      <c r="C65" s="3" t="s">
        <v>58</v>
      </c>
      <c r="D65" s="3"/>
      <c r="E65" s="3"/>
      <c r="F65" s="3" t="s">
        <v>58</v>
      </c>
      <c r="G65" s="3"/>
      <c r="H65" s="3"/>
      <c r="I65" s="3" t="s">
        <v>58</v>
      </c>
      <c r="J65" s="3"/>
    </row>
    <row r="66" spans="1:10" x14ac:dyDescent="0.2">
      <c r="A66" t="s">
        <v>23</v>
      </c>
      <c r="B66" s="1"/>
      <c r="C66" s="1">
        <f t="shared" ref="C66" si="40">C42*$D$5</f>
        <v>1.0397763168485567E-2</v>
      </c>
      <c r="D66" s="1"/>
      <c r="E66" s="1"/>
      <c r="F66" s="1">
        <f t="shared" ref="F66" si="41">C42*$D$6</f>
        <v>6.3215792610345203E-3</v>
      </c>
      <c r="G66" s="1"/>
      <c r="H66" s="1"/>
      <c r="I66" s="1">
        <f t="shared" ref="I66" si="42">C42*$D$7</f>
        <v>2.4048698521493359E-3</v>
      </c>
      <c r="J66" s="1"/>
    </row>
    <row r="67" spans="1:10" x14ac:dyDescent="0.2">
      <c r="A67" t="s">
        <v>31</v>
      </c>
      <c r="B67" s="1"/>
      <c r="C67" s="1">
        <f t="shared" ref="C67" si="43">C43*$D$5</f>
        <v>1.0397763168485567E-2</v>
      </c>
      <c r="D67" s="1"/>
      <c r="E67" s="1"/>
      <c r="F67" s="1">
        <f t="shared" ref="F67" si="44">C43*$D$6</f>
        <v>6.3215792610345203E-3</v>
      </c>
      <c r="G67" s="1"/>
      <c r="H67" s="1"/>
      <c r="I67" s="1">
        <f t="shared" ref="I67" si="45">C43*$D$7</f>
        <v>2.4048698521493359E-3</v>
      </c>
      <c r="J67" s="1"/>
    </row>
    <row r="68" spans="1:10" x14ac:dyDescent="0.2">
      <c r="A68" t="s">
        <v>25</v>
      </c>
      <c r="B68" s="1"/>
      <c r="C68" s="1">
        <f t="shared" ref="C68" si="46">C44*$D$5</f>
        <v>0.13179057843183348</v>
      </c>
      <c r="D68" s="1"/>
      <c r="E68" s="1"/>
      <c r="F68" s="1">
        <f t="shared" ref="F68" si="47">C44*$D$6</f>
        <v>8.0125366765375794E-2</v>
      </c>
      <c r="G68" s="1"/>
      <c r="H68" s="1"/>
      <c r="I68" s="1">
        <f t="shared" ref="I68" si="48">C44*$D$7</f>
        <v>3.0481477961398981E-2</v>
      </c>
      <c r="J68" s="1"/>
    </row>
    <row r="69" spans="1:10" x14ac:dyDescent="0.2">
      <c r="A69" t="s">
        <v>26</v>
      </c>
      <c r="B69" s="1"/>
      <c r="C69" s="1">
        <f t="shared" ref="C69" si="49">C45*$D$5</f>
        <v>0.12708377205926796</v>
      </c>
      <c r="D69" s="1"/>
      <c r="E69" s="1"/>
      <c r="F69" s="1">
        <f t="shared" ref="F69" si="50">C45*$D$6</f>
        <v>7.7263746523755228E-2</v>
      </c>
      <c r="G69" s="1"/>
      <c r="H69" s="1"/>
      <c r="I69" s="1">
        <f t="shared" ref="I69" si="51">C45*$D$7</f>
        <v>2.9392853748491869E-2</v>
      </c>
      <c r="J69" s="1"/>
    </row>
    <row r="70" spans="1:10" x14ac:dyDescent="0.2">
      <c r="A70" t="s">
        <v>29</v>
      </c>
      <c r="B70" s="1"/>
      <c r="C70" s="1">
        <f t="shared" ref="C70" si="52">C46*$D$5</f>
        <v>1.132136096937326E-2</v>
      </c>
      <c r="D70" s="1"/>
      <c r="E70" s="1"/>
      <c r="F70" s="1">
        <f t="shared" ref="F70" si="53">C46*$D$6</f>
        <v>6.8831035628502089E-3</v>
      </c>
      <c r="G70" s="1"/>
      <c r="H70" s="1"/>
      <c r="I70" s="1">
        <f t="shared" ref="I70" si="54">C46*$D$7</f>
        <v>2.6184862301024555E-3</v>
      </c>
      <c r="J70" s="1"/>
    </row>
    <row r="71" spans="1:10" x14ac:dyDescent="0.2">
      <c r="A71" t="s">
        <v>28</v>
      </c>
      <c r="B71" s="1"/>
      <c r="C71" s="1">
        <f t="shared" ref="C71" si="55">C47*$D$5</f>
        <v>6.9448883214727322E-2</v>
      </c>
      <c r="D71" s="1"/>
      <c r="E71" s="1"/>
      <c r="F71" s="1">
        <f t="shared" ref="F71" si="56">C47*$D$6</f>
        <v>4.2223179420249564E-2</v>
      </c>
      <c r="G71" s="1"/>
      <c r="H71" s="1"/>
      <c r="I71" s="1">
        <f t="shared" ref="I71" si="57">C47*$D$7</f>
        <v>1.6062639896890784E-2</v>
      </c>
      <c r="J71" s="1"/>
    </row>
    <row r="72" spans="1:10" x14ac:dyDescent="0.2">
      <c r="A72" t="s">
        <v>27</v>
      </c>
      <c r="B72" s="1"/>
      <c r="C72" s="1">
        <f t="shared" ref="C72" si="58">C48*$D$5</f>
        <v>4.7422824848791241E-2</v>
      </c>
      <c r="D72" s="1"/>
      <c r="E72" s="1"/>
      <c r="F72" s="1">
        <f t="shared" ref="F72" si="59">C48*$D$6</f>
        <v>2.88318882827041E-2</v>
      </c>
      <c r="G72" s="1"/>
      <c r="H72" s="1"/>
      <c r="I72" s="1">
        <f t="shared" ref="I72" si="60">C48*$D$7</f>
        <v>1.0968293846918539E-2</v>
      </c>
      <c r="J72" s="1"/>
    </row>
    <row r="73" spans="1:10" x14ac:dyDescent="0.2">
      <c r="A73" t="s">
        <v>32</v>
      </c>
      <c r="B73" s="1"/>
      <c r="C73" s="1">
        <f t="shared" ref="C73" si="61">C49*$D$5</f>
        <v>3.6685453020141735E-2</v>
      </c>
      <c r="D73" s="1"/>
      <c r="E73" s="1"/>
      <c r="F73" s="1">
        <f t="shared" ref="F73" si="62">C49*$D$6</f>
        <v>2.2303835472679064E-2</v>
      </c>
      <c r="G73" s="1"/>
      <c r="H73" s="1"/>
      <c r="I73" s="1">
        <f t="shared" ref="I73" si="63">C49*$D$7</f>
        <v>8.4848768481259277E-3</v>
      </c>
      <c r="J73" s="1"/>
    </row>
    <row r="75" spans="1:10" x14ac:dyDescent="0.2">
      <c r="A75" s="2" t="s">
        <v>81</v>
      </c>
    </row>
    <row r="77" spans="1:10" x14ac:dyDescent="0.2">
      <c r="A77">
        <v>20</v>
      </c>
      <c r="B77" t="s">
        <v>62</v>
      </c>
      <c r="D77">
        <v>15.5</v>
      </c>
      <c r="E77" t="s">
        <v>278</v>
      </c>
    </row>
    <row r="78" spans="1:10" x14ac:dyDescent="0.2">
      <c r="A78">
        <f>A77/24</f>
        <v>0.83333333333333337</v>
      </c>
      <c r="B78" t="s">
        <v>82</v>
      </c>
      <c r="D78">
        <f>D77/24</f>
        <v>0.64583333333333337</v>
      </c>
      <c r="E78" t="s">
        <v>82</v>
      </c>
    </row>
    <row r="79" spans="1:10" x14ac:dyDescent="0.2">
      <c r="A79" t="s">
        <v>83</v>
      </c>
      <c r="C79" t="s">
        <v>276</v>
      </c>
    </row>
    <row r="80" spans="1:10" x14ac:dyDescent="0.2">
      <c r="A80" t="s">
        <v>46</v>
      </c>
      <c r="B80" t="s">
        <v>84</v>
      </c>
      <c r="C80" t="s">
        <v>84</v>
      </c>
    </row>
    <row r="81" spans="1:10" x14ac:dyDescent="0.2">
      <c r="A81" t="str">
        <f>'Inh&amp;Ing'!A51</f>
        <v>U-238+D</v>
      </c>
      <c r="B81">
        <f>'Inh&amp;Ing'!B51</f>
        <v>3.2129999999999999E-2</v>
      </c>
      <c r="C81" s="1">
        <f>'Inh&amp;Ing'!G51</f>
        <v>3.7039999999999997E-2</v>
      </c>
    </row>
    <row r="82" spans="1:10" x14ac:dyDescent="0.2">
      <c r="A82" t="str">
        <f>'Inh&amp;Ing'!A52</f>
        <v>U-234</v>
      </c>
      <c r="B82">
        <f>'Inh&amp;Ing'!B52</f>
        <v>3.7400000000000003E-2</v>
      </c>
      <c r="C82" s="1">
        <f>'Inh&amp;Ing'!G52</f>
        <v>4.4400000000000002E-2</v>
      </c>
    </row>
    <row r="83" spans="1:10" x14ac:dyDescent="0.2">
      <c r="A83" t="str">
        <f>'Inh&amp;Ing'!A53</f>
        <v>Th-230</v>
      </c>
      <c r="B83">
        <f>'Inh&amp;Ing'!B53</f>
        <v>0.38500000000000001</v>
      </c>
      <c r="C83" s="1">
        <f>'Inh&amp;Ing'!G53</f>
        <v>0.40699999999999997</v>
      </c>
    </row>
    <row r="84" spans="1:10" x14ac:dyDescent="0.2">
      <c r="A84" t="str">
        <f>'Inh&amp;Ing'!A54</f>
        <v>Ra-226+D</v>
      </c>
      <c r="B84">
        <f>'Inh&amp;Ing'!B54</f>
        <v>3.8219999999999997E-2</v>
      </c>
      <c r="C84" s="1">
        <f>'Inh&amp;Ing'!G54</f>
        <v>4.4560000000000002E-2</v>
      </c>
    </row>
    <row r="85" spans="1:10" x14ac:dyDescent="0.2">
      <c r="A85" t="str">
        <f>'Inh&amp;Ing'!A55</f>
        <v>Pb-210+D</v>
      </c>
      <c r="B85">
        <f>'Inh&amp;Ing'!B55</f>
        <v>4.0140000000000002E-2</v>
      </c>
      <c r="C85" s="1">
        <f>'Inh&amp;Ing'!G55</f>
        <v>4.895E-2</v>
      </c>
    </row>
    <row r="86" spans="1:10" x14ac:dyDescent="0.2">
      <c r="A86" t="str">
        <f>'Inh&amp;Ing'!A56</f>
        <v>Th-232</v>
      </c>
      <c r="B86">
        <f>'Inh&amp;Ing'!B56</f>
        <v>0.42599999999999999</v>
      </c>
      <c r="C86" s="1">
        <f>'Inh&amp;Ing'!G56</f>
        <v>0.48099999999999998</v>
      </c>
    </row>
    <row r="87" spans="1:10" x14ac:dyDescent="0.2">
      <c r="A87" t="str">
        <f>'Inh&amp;Ing'!A57</f>
        <v>Ra-228+D</v>
      </c>
      <c r="B87">
        <f>'Inh&amp;Ing'!B57</f>
        <v>6.336E-2</v>
      </c>
      <c r="C87" s="1">
        <f>'Inh&amp;Ing'!G57</f>
        <v>7.4209999999999998E-2</v>
      </c>
    </row>
    <row r="88" spans="1:10" x14ac:dyDescent="0.2">
      <c r="A88" t="str">
        <f>'Inh&amp;Ing'!A58</f>
        <v>Th-228+D</v>
      </c>
      <c r="B88">
        <f>'Inh&amp;Ing'!B58</f>
        <v>0.1754</v>
      </c>
      <c r="C88" s="1">
        <f>'Inh&amp;Ing'!G58</f>
        <v>0.22090000000000001</v>
      </c>
    </row>
    <row r="92" spans="1:10" x14ac:dyDescent="0.2">
      <c r="A92" s="2" t="s">
        <v>85</v>
      </c>
    </row>
    <row r="93" spans="1:10" x14ac:dyDescent="0.2">
      <c r="C93" t="s">
        <v>77</v>
      </c>
      <c r="F93" t="s">
        <v>78</v>
      </c>
      <c r="I93" t="s">
        <v>79</v>
      </c>
    </row>
    <row r="94" spans="1:10" ht="25.5" x14ac:dyDescent="0.2">
      <c r="A94" s="2" t="s">
        <v>46</v>
      </c>
      <c r="B94" s="3"/>
      <c r="C94" s="3" t="s">
        <v>58</v>
      </c>
      <c r="D94" s="3" t="s">
        <v>277</v>
      </c>
      <c r="E94" s="3"/>
      <c r="F94" s="3" t="s">
        <v>58</v>
      </c>
      <c r="G94" s="3" t="s">
        <v>277</v>
      </c>
      <c r="H94" s="3"/>
      <c r="I94" s="3" t="s">
        <v>58</v>
      </c>
      <c r="J94" s="3" t="s">
        <v>277</v>
      </c>
    </row>
    <row r="95" spans="1:10" x14ac:dyDescent="0.2">
      <c r="A95" t="s">
        <v>23</v>
      </c>
      <c r="B95" s="1"/>
      <c r="C95" s="1">
        <f>$C54/3600*$A$78*B81</f>
        <v>6.4950616302657185E-7</v>
      </c>
      <c r="D95" s="1">
        <f>$C54/3600*$D$78*C81</f>
        <v>5.8029019345909649E-7</v>
      </c>
      <c r="E95" s="1"/>
      <c r="F95" s="1">
        <f>$F54/3600*$A$78*B81</f>
        <v>3.9779842710869353E-7</v>
      </c>
      <c r="G95" s="1">
        <f>$F54/3600*$D$78*C81</f>
        <v>3.5540621377473255E-7</v>
      </c>
      <c r="H95" s="1"/>
      <c r="I95" s="1">
        <f>$I54/3600*$A$78*B81</f>
        <v>1.5393947989952371E-7</v>
      </c>
      <c r="J95" s="1">
        <f>$I54/3600*$D$78*C81</f>
        <v>1.3753460037334975E-7</v>
      </c>
    </row>
    <row r="96" spans="1:10" x14ac:dyDescent="0.2">
      <c r="A96" t="s">
        <v>31</v>
      </c>
      <c r="B96" s="1"/>
      <c r="C96" s="1">
        <f t="shared" ref="C96:C102" si="64">$C55/3600*$A$78*B82</f>
        <v>7.560389199251101E-7</v>
      </c>
      <c r="D96" s="1">
        <f t="shared" ref="D96:D102" si="65">$C55/3600*$D$78*C82</f>
        <v>6.9559623621986737E-7</v>
      </c>
      <c r="E96" s="1"/>
      <c r="F96" s="1">
        <f t="shared" ref="F96:F102" si="66">$F55/3600*$A$78*B82</f>
        <v>4.6304578816884969E-7</v>
      </c>
      <c r="G96" s="1">
        <f t="shared" ref="G96:G102" si="67">$F55/3600*$D$78*C82</f>
        <v>4.2602688692219562E-7</v>
      </c>
      <c r="H96" s="1"/>
      <c r="I96" s="1">
        <f t="shared" ref="I96:I102" si="68">I55/3600*$A$78*$B82</f>
        <v>1.7918881258145621E-7</v>
      </c>
      <c r="J96" s="1">
        <f t="shared" ref="J96:J102" si="69">$I55/3600*$D$78*C82</f>
        <v>1.6486328986438257E-7</v>
      </c>
    </row>
    <row r="97" spans="1:10" x14ac:dyDescent="0.2">
      <c r="A97" t="s">
        <v>25</v>
      </c>
      <c r="B97" s="1"/>
      <c r="C97" s="1">
        <f t="shared" si="64"/>
        <v>9.864560102629735E-5</v>
      </c>
      <c r="D97" s="1">
        <f t="shared" si="65"/>
        <v>8.0818931697973598E-5</v>
      </c>
      <c r="E97" s="1"/>
      <c r="F97" s="1">
        <f t="shared" si="66"/>
        <v>6.0416770714841433E-5</v>
      </c>
      <c r="G97" s="1">
        <f t="shared" si="67"/>
        <v>4.9498597149945085E-5</v>
      </c>
      <c r="H97" s="1"/>
      <c r="I97" s="1">
        <f t="shared" si="68"/>
        <v>2.3379997574777268E-5</v>
      </c>
      <c r="J97" s="1">
        <f t="shared" si="69"/>
        <v>1.915489801304966E-5</v>
      </c>
    </row>
    <row r="98" spans="1:10" x14ac:dyDescent="0.2">
      <c r="A98" t="s">
        <v>26</v>
      </c>
      <c r="B98" s="1"/>
      <c r="C98" s="1">
        <f t="shared" si="64"/>
        <v>9.4430743527900966E-6</v>
      </c>
      <c r="D98" s="1">
        <f t="shared" si="65"/>
        <v>8.5323686472855366E-6</v>
      </c>
      <c r="E98" s="1"/>
      <c r="F98" s="1">
        <f t="shared" si="66"/>
        <v>5.7835326875207273E-6</v>
      </c>
      <c r="G98" s="1">
        <f t="shared" si="67"/>
        <v>5.2257592315761603E-6</v>
      </c>
      <c r="H98" s="1"/>
      <c r="I98" s="1">
        <f t="shared" si="68"/>
        <v>2.2381034042036774E-6</v>
      </c>
      <c r="J98" s="1">
        <f t="shared" si="69"/>
        <v>2.0222570110091523E-6</v>
      </c>
    </row>
    <row r="99" spans="1:10" x14ac:dyDescent="0.2">
      <c r="A99" t="s">
        <v>29</v>
      </c>
      <c r="B99" s="1"/>
      <c r="C99" s="1">
        <f t="shared" si="64"/>
        <v>8.8350423452720071E-7</v>
      </c>
      <c r="D99" s="1">
        <f t="shared" si="65"/>
        <v>8.3499844337524948E-7</v>
      </c>
      <c r="E99" s="1"/>
      <c r="F99" s="1">
        <f t="shared" si="66"/>
        <v>5.4111356419017125E-7</v>
      </c>
      <c r="G99" s="1">
        <f t="shared" si="67"/>
        <v>5.1140556675409528E-7</v>
      </c>
      <c r="H99" s="1"/>
      <c r="I99" s="1">
        <f t="shared" si="68"/>
        <v>2.093993715446546E-7</v>
      </c>
      <c r="J99" s="1">
        <f t="shared" si="69"/>
        <v>1.9790301217640513E-7</v>
      </c>
    </row>
    <row r="100" spans="1:10" x14ac:dyDescent="0.2">
      <c r="A100" t="s">
        <v>28</v>
      </c>
      <c r="B100" s="1"/>
      <c r="C100" s="1">
        <f t="shared" si="64"/>
        <v>5.7518492494143293E-5</v>
      </c>
      <c r="D100" s="1">
        <f t="shared" si="65"/>
        <v>5.0332056430761179E-5</v>
      </c>
      <c r="E100" s="1"/>
      <c r="F100" s="1">
        <f t="shared" si="66"/>
        <v>3.5227942622150799E-5</v>
      </c>
      <c r="G100" s="1">
        <f t="shared" si="67"/>
        <v>3.0826517161906723E-5</v>
      </c>
      <c r="H100" s="1"/>
      <c r="I100" s="1">
        <f t="shared" si="68"/>
        <v>1.3632460049175602E-5</v>
      </c>
      <c r="J100" s="1">
        <f t="shared" si="69"/>
        <v>1.1929202570026844E-5</v>
      </c>
    </row>
    <row r="101" spans="1:10" x14ac:dyDescent="0.2">
      <c r="A101" t="s">
        <v>27</v>
      </c>
      <c r="B101" s="1"/>
      <c r="C101" s="1">
        <f t="shared" si="64"/>
        <v>5.8416457694296698E-6</v>
      </c>
      <c r="D101" s="1">
        <f t="shared" si="65"/>
        <v>5.3025428144849468E-6</v>
      </c>
      <c r="E101" s="1"/>
      <c r="F101" s="1">
        <f t="shared" si="66"/>
        <v>3.5777912991261454E-6</v>
      </c>
      <c r="G101" s="1">
        <f t="shared" si="67"/>
        <v>3.2476107408272916E-6</v>
      </c>
      <c r="H101" s="1"/>
      <c r="I101" s="1">
        <f t="shared" si="68"/>
        <v>1.3845286814722141E-6</v>
      </c>
      <c r="J101" s="1">
        <f t="shared" si="69"/>
        <v>1.2567558700337924E-6</v>
      </c>
    </row>
    <row r="102" spans="1:10" x14ac:dyDescent="0.2">
      <c r="A102" t="s">
        <v>32</v>
      </c>
      <c r="B102" s="1"/>
      <c r="C102" s="1">
        <f t="shared" si="64"/>
        <v>1.2509965300341693E-5</v>
      </c>
      <c r="D102" s="1">
        <f t="shared" si="65"/>
        <v>1.2210232522834934E-5</v>
      </c>
      <c r="E102" s="1"/>
      <c r="F102" s="1">
        <f t="shared" si="66"/>
        <v>7.6618896062063542E-6</v>
      </c>
      <c r="G102" s="1">
        <f t="shared" si="67"/>
        <v>7.4783144005616444E-6</v>
      </c>
      <c r="H102" s="1"/>
      <c r="I102" s="1">
        <f t="shared" si="68"/>
        <v>2.9649873419552204E-6</v>
      </c>
      <c r="J102" s="1">
        <f t="shared" si="69"/>
        <v>2.8939476651903016E-6</v>
      </c>
    </row>
    <row r="103" spans="1:10" x14ac:dyDescent="0.2">
      <c r="A103" t="s">
        <v>49</v>
      </c>
      <c r="B103" s="1"/>
      <c r="C103" s="1">
        <f t="shared" ref="C103:J103" si="70">SUM(C95:C102)</f>
        <v>1.8624782826048099E-4</v>
      </c>
      <c r="D103" s="1">
        <f t="shared" si="70"/>
        <v>1.5930701698639441E-4</v>
      </c>
      <c r="E103" s="1"/>
      <c r="F103" s="1">
        <f t="shared" si="70"/>
        <v>1.1406988470931317E-4</v>
      </c>
      <c r="G103" s="1">
        <f t="shared" si="70"/>
        <v>9.7569637352267914E-5</v>
      </c>
      <c r="H103" s="1"/>
      <c r="I103" s="1">
        <f t="shared" si="70"/>
        <v>4.4142604715609616E-5</v>
      </c>
      <c r="J103" s="1">
        <f t="shared" si="70"/>
        <v>3.7757362031723886E-5</v>
      </c>
    </row>
    <row r="105" spans="1:10" x14ac:dyDescent="0.2">
      <c r="A105" s="2" t="s">
        <v>86</v>
      </c>
    </row>
    <row r="106" spans="1:10" x14ac:dyDescent="0.2">
      <c r="C106" t="s">
        <v>77</v>
      </c>
      <c r="F106" t="s">
        <v>78</v>
      </c>
      <c r="I106" t="s">
        <v>79</v>
      </c>
    </row>
    <row r="107" spans="1:10" ht="25.5" x14ac:dyDescent="0.2">
      <c r="A107" s="2" t="s">
        <v>46</v>
      </c>
      <c r="B107" s="3"/>
      <c r="C107" s="3" t="s">
        <v>58</v>
      </c>
      <c r="D107" s="3" t="s">
        <v>277</v>
      </c>
      <c r="E107" s="3"/>
      <c r="F107" s="3" t="s">
        <v>58</v>
      </c>
      <c r="G107" s="3" t="s">
        <v>277</v>
      </c>
      <c r="H107" s="3"/>
      <c r="I107" s="3" t="s">
        <v>58</v>
      </c>
      <c r="J107" s="3" t="s">
        <v>277</v>
      </c>
    </row>
    <row r="108" spans="1:10" x14ac:dyDescent="0.2">
      <c r="A108" t="s">
        <v>23</v>
      </c>
      <c r="B108" s="1"/>
      <c r="C108" s="1">
        <f>C66/3600*$A$78*B81</f>
        <v>7.73333635656114E-8</v>
      </c>
      <c r="D108" s="1">
        <f>C66/3600*$D$78*C81</f>
        <v>6.9092173498737658E-8</v>
      </c>
      <c r="E108" s="1"/>
      <c r="F108" s="1">
        <f t="shared" ref="F108:I108" si="71">F66/3600*$A$78*$B81</f>
        <v>4.7016745753944243E-8</v>
      </c>
      <c r="G108" s="1">
        <f>F66/3600*$D$78*C81</f>
        <v>4.200630885816133E-8</v>
      </c>
      <c r="H108" s="1"/>
      <c r="I108" s="1">
        <f t="shared" si="71"/>
        <v>1.7886219525360684E-8</v>
      </c>
      <c r="J108" s="1">
        <f>I66/3600*$D$78*$C81</f>
        <v>1.598013749439788E-8</v>
      </c>
    </row>
    <row r="109" spans="1:10" x14ac:dyDescent="0.2">
      <c r="A109" t="s">
        <v>31</v>
      </c>
      <c r="B109" s="1"/>
      <c r="C109" s="1">
        <f t="shared" ref="C109:I109" si="72">C67/3600*$A$78*$B82</f>
        <v>9.0017671875314878E-8</v>
      </c>
      <c r="D109" s="1">
        <f t="shared" ref="D109:D115" si="73">C67/3600*$D$78*C82</f>
        <v>8.2821071904534352E-8</v>
      </c>
      <c r="E109" s="1"/>
      <c r="F109" s="1">
        <f t="shared" si="72"/>
        <v>5.4728487120993302E-8</v>
      </c>
      <c r="G109" s="1">
        <f t="shared" ref="G109:G115" si="74">F67/3600*$D$78*C82</f>
        <v>5.0353134808379139E-8</v>
      </c>
      <c r="H109" s="1"/>
      <c r="I109" s="1">
        <f t="shared" si="72"/>
        <v>2.0819938071848419E-8</v>
      </c>
      <c r="J109" s="1">
        <f t="shared" ref="J109:J115" si="75">I67/3600*$D$78*$C82</f>
        <v>1.9155456391772837E-8</v>
      </c>
    </row>
    <row r="110" spans="1:10" x14ac:dyDescent="0.2">
      <c r="A110" t="s">
        <v>25</v>
      </c>
      <c r="B110" s="1"/>
      <c r="C110" s="1">
        <f t="shared" ref="C110:I110" si="76">C68/3600*$A$78*$B83</f>
        <v>1.1745225161170345E-5</v>
      </c>
      <c r="D110" s="1">
        <f t="shared" si="73"/>
        <v>9.6226951856159895E-6</v>
      </c>
      <c r="E110" s="1"/>
      <c r="F110" s="1">
        <f t="shared" si="76"/>
        <v>7.1408023621920564E-6</v>
      </c>
      <c r="G110" s="1">
        <f t="shared" si="74"/>
        <v>5.8503573638816338E-6</v>
      </c>
      <c r="H110" s="1"/>
      <c r="I110" s="1">
        <f t="shared" si="76"/>
        <v>2.716520605356159E-6</v>
      </c>
      <c r="J110" s="1">
        <f t="shared" si="75"/>
        <v>2.2256065245310815E-6</v>
      </c>
    </row>
    <row r="111" spans="1:10" x14ac:dyDescent="0.2">
      <c r="A111" t="s">
        <v>26</v>
      </c>
      <c r="B111" s="1"/>
      <c r="C111" s="1">
        <f t="shared" ref="C111:I111" si="77">C69/3600*$A$78*$B84</f>
        <v>1.124338372246579E-6</v>
      </c>
      <c r="D111" s="1">
        <f t="shared" si="73"/>
        <v>1.0159053204386018E-6</v>
      </c>
      <c r="E111" s="1"/>
      <c r="F111" s="1">
        <f t="shared" si="77"/>
        <v>6.8356953521711226E-7</v>
      </c>
      <c r="G111" s="1">
        <f t="shared" si="74"/>
        <v>6.1764495890077862E-7</v>
      </c>
      <c r="H111" s="1"/>
      <c r="I111" s="1">
        <f t="shared" si="77"/>
        <v>2.6004510885818497E-7</v>
      </c>
      <c r="J111" s="1">
        <f t="shared" si="75"/>
        <v>2.3496592855333755E-7</v>
      </c>
    </row>
    <row r="112" spans="1:10" x14ac:dyDescent="0.2">
      <c r="A112" t="s">
        <v>29</v>
      </c>
      <c r="B112" s="1"/>
      <c r="C112" s="1">
        <f t="shared" ref="C112:I112" si="78">C70/3600*$A$78*$B85</f>
        <v>1.0519431234042654E-7</v>
      </c>
      <c r="D112" s="1">
        <f t="shared" si="73"/>
        <v>9.9418976869070922E-8</v>
      </c>
      <c r="E112" s="1"/>
      <c r="F112" s="1">
        <f t="shared" si="78"/>
        <v>6.395550393814986E-8</v>
      </c>
      <c r="G112" s="1">
        <f t="shared" si="74"/>
        <v>6.0444244800040797E-8</v>
      </c>
      <c r="H112" s="1"/>
      <c r="I112" s="1">
        <f t="shared" si="78"/>
        <v>2.4330101221368652E-8</v>
      </c>
      <c r="J112" s="1">
        <f t="shared" si="75"/>
        <v>2.2994339871926921E-8</v>
      </c>
    </row>
    <row r="113" spans="1:10" x14ac:dyDescent="0.2">
      <c r="A113" t="s">
        <v>28</v>
      </c>
      <c r="B113" s="1"/>
      <c r="C113" s="1">
        <f t="shared" ref="C113:I113" si="79">C71/3600*$A$78*$B86</f>
        <v>6.8484315392300555E-6</v>
      </c>
      <c r="D113" s="1">
        <f t="shared" si="73"/>
        <v>5.9927795000856429E-6</v>
      </c>
      <c r="E113" s="1"/>
      <c r="F113" s="1">
        <f t="shared" si="79"/>
        <v>4.1636746372746096E-6</v>
      </c>
      <c r="G113" s="1">
        <f t="shared" si="74"/>
        <v>3.64345965471841E-6</v>
      </c>
      <c r="H113" s="1"/>
      <c r="I113" s="1">
        <f t="shared" si="79"/>
        <v>1.5839547676100635E-6</v>
      </c>
      <c r="J113" s="1">
        <f t="shared" si="75"/>
        <v>1.3860533767508016E-6</v>
      </c>
    </row>
    <row r="114" spans="1:10" x14ac:dyDescent="0.2">
      <c r="A114" t="s">
        <v>27</v>
      </c>
      <c r="B114" s="1"/>
      <c r="C114" s="1">
        <f t="shared" ref="C114:I114" si="80">C72/3600*$A$78*$B87</f>
        <v>6.9553476444893821E-7</v>
      </c>
      <c r="D114" s="1">
        <f t="shared" si="73"/>
        <v>6.3134654394035147E-7</v>
      </c>
      <c r="E114" s="1"/>
      <c r="F114" s="1">
        <f t="shared" si="80"/>
        <v>4.2286769481299347E-7</v>
      </c>
      <c r="G114" s="1">
        <f t="shared" si="74"/>
        <v>3.8384286639608568E-7</v>
      </c>
      <c r="H114" s="1"/>
      <c r="I114" s="1">
        <f t="shared" si="80"/>
        <v>1.6086830975480526E-7</v>
      </c>
      <c r="J114" s="1">
        <f t="shared" si="75"/>
        <v>1.4602239396860285E-7</v>
      </c>
    </row>
    <row r="115" spans="1:10" x14ac:dyDescent="0.2">
      <c r="A115" t="s">
        <v>32</v>
      </c>
      <c r="B115" s="1"/>
      <c r="C115" s="1">
        <f t="shared" ref="C115:I115" si="81">C73/3600*$A$78*$B88</f>
        <v>1.4894973286418656E-6</v>
      </c>
      <c r="D115" s="1">
        <f t="shared" si="73"/>
        <v>1.4538096859758599E-6</v>
      </c>
      <c r="E115" s="1"/>
      <c r="F115" s="1">
        <f t="shared" si="81"/>
        <v>9.0557702358979353E-7</v>
      </c>
      <c r="G115" s="1">
        <f t="shared" si="74"/>
        <v>8.8387983179027191E-7</v>
      </c>
      <c r="H115" s="1"/>
      <c r="I115" s="1">
        <f t="shared" si="81"/>
        <v>3.4450171276881661E-7</v>
      </c>
      <c r="J115" s="1">
        <f t="shared" si="75"/>
        <v>3.362476167145923E-7</v>
      </c>
    </row>
    <row r="116" spans="1:10" x14ac:dyDescent="0.2">
      <c r="A116" t="s">
        <v>49</v>
      </c>
      <c r="B116" s="1"/>
      <c r="C116" s="1">
        <f t="shared" ref="C116:J116" si="82">SUM(C108:C115)</f>
        <v>2.2175572513519137E-5</v>
      </c>
      <c r="D116" s="1">
        <f t="shared" si="82"/>
        <v>1.896786845832879E-5</v>
      </c>
      <c r="E116" s="1"/>
      <c r="F116" s="1">
        <f t="shared" si="82"/>
        <v>1.3482191989899653E-5</v>
      </c>
      <c r="G116" s="1">
        <f t="shared" si="82"/>
        <v>1.1531988364153761E-5</v>
      </c>
      <c r="H116" s="1"/>
      <c r="I116" s="1">
        <f t="shared" si="82"/>
        <v>5.1289267631666071E-6</v>
      </c>
      <c r="J116" s="1">
        <f t="shared" si="82"/>
        <v>4.3870257742765124E-6</v>
      </c>
    </row>
    <row r="118" spans="1:10" x14ac:dyDescent="0.2">
      <c r="A118" s="2" t="s">
        <v>187</v>
      </c>
    </row>
    <row r="119" spans="1:10" x14ac:dyDescent="0.2">
      <c r="A119" t="s">
        <v>87</v>
      </c>
      <c r="B119" s="1"/>
      <c r="C119" s="1">
        <f t="shared" ref="C119:I119" si="83">C103*92</f>
        <v>1.7134800199964252E-2</v>
      </c>
      <c r="D119" s="1">
        <f t="shared" ref="D119" si="84">D103*92</f>
        <v>1.4656245562748286E-2</v>
      </c>
      <c r="E119" s="1"/>
      <c r="F119" s="1">
        <f t="shared" si="83"/>
        <v>1.0494429393256812E-2</v>
      </c>
      <c r="G119" s="1">
        <f t="shared" ref="G119" si="85">G103*92</f>
        <v>8.9764066364086473E-3</v>
      </c>
      <c r="H119" s="1"/>
      <c r="I119" s="1">
        <f t="shared" si="83"/>
        <v>4.0611196338360845E-3</v>
      </c>
      <c r="J119" s="1">
        <f t="shared" ref="J119" si="86">J103*92</f>
        <v>3.4736773069185974E-3</v>
      </c>
    </row>
    <row r="120" spans="1:10" x14ac:dyDescent="0.2">
      <c r="A120" t="s">
        <v>88</v>
      </c>
      <c r="B120" s="1"/>
      <c r="C120" s="1">
        <f t="shared" ref="C120:I120" si="87">C116*92</f>
        <v>2.0401526712437606E-3</v>
      </c>
      <c r="D120" s="1">
        <f t="shared" ref="D120" si="88">D116*92</f>
        <v>1.7450438981662488E-3</v>
      </c>
      <c r="E120" s="1"/>
      <c r="F120" s="1">
        <f t="shared" si="87"/>
        <v>1.2403616630707682E-3</v>
      </c>
      <c r="G120" s="1">
        <f t="shared" ref="G120" si="89">G116*92</f>
        <v>1.0609429295021461E-3</v>
      </c>
      <c r="H120" s="1"/>
      <c r="I120" s="1">
        <f t="shared" si="87"/>
        <v>4.7186126221132786E-4</v>
      </c>
      <c r="J120" s="1">
        <f t="shared" ref="J120" si="90">J116*92</f>
        <v>4.0360637123343916E-4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2"/>
  <sheetViews>
    <sheetView topLeftCell="C28" zoomScale="150" zoomScaleNormal="150" zoomScalePageLayoutView="150" workbookViewId="0">
      <selection activeCell="F47" sqref="F47"/>
    </sheetView>
  </sheetViews>
  <sheetFormatPr defaultColWidth="11.42578125" defaultRowHeight="12.75" x14ac:dyDescent="0.2"/>
  <cols>
    <col min="1" max="1" width="22.85546875" customWidth="1"/>
    <col min="2" max="2" width="11" bestFit="1" customWidth="1"/>
  </cols>
  <sheetData>
    <row r="2" spans="1:8" x14ac:dyDescent="0.2">
      <c r="A2" s="2" t="s">
        <v>104</v>
      </c>
    </row>
    <row r="3" spans="1:8" x14ac:dyDescent="0.2">
      <c r="A3" t="s">
        <v>90</v>
      </c>
      <c r="B3">
        <v>4.57</v>
      </c>
      <c r="C3" t="s">
        <v>91</v>
      </c>
      <c r="D3" t="s">
        <v>92</v>
      </c>
    </row>
    <row r="4" spans="1:8" x14ac:dyDescent="0.2">
      <c r="A4" t="s">
        <v>123</v>
      </c>
      <c r="B4">
        <v>5</v>
      </c>
      <c r="D4" t="s">
        <v>93</v>
      </c>
    </row>
    <row r="5" spans="1:8" x14ac:dyDescent="0.2">
      <c r="A5" t="s">
        <v>15</v>
      </c>
      <c r="B5">
        <v>1.5</v>
      </c>
      <c r="C5" t="s">
        <v>94</v>
      </c>
      <c r="D5" t="s">
        <v>148</v>
      </c>
    </row>
    <row r="6" spans="1:8" x14ac:dyDescent="0.2">
      <c r="A6" t="s">
        <v>95</v>
      </c>
      <c r="B6">
        <v>0.4</v>
      </c>
      <c r="D6" t="s">
        <v>93</v>
      </c>
    </row>
    <row r="7" spans="1:8" x14ac:dyDescent="0.2">
      <c r="A7" t="s">
        <v>96</v>
      </c>
      <c r="B7">
        <f>B5/(1-B6)</f>
        <v>2.5</v>
      </c>
      <c r="C7" t="s">
        <v>94</v>
      </c>
      <c r="D7" t="s">
        <v>147</v>
      </c>
    </row>
    <row r="8" spans="1:8" x14ac:dyDescent="0.2">
      <c r="A8" t="s">
        <v>97</v>
      </c>
      <c r="B8">
        <v>0.2</v>
      </c>
      <c r="D8" t="s">
        <v>274</v>
      </c>
      <c r="H8">
        <v>0.06</v>
      </c>
    </row>
    <row r="9" spans="1:8" x14ac:dyDescent="0.2">
      <c r="A9" t="s">
        <v>149</v>
      </c>
      <c r="B9">
        <v>15793</v>
      </c>
      <c r="C9" t="s">
        <v>150</v>
      </c>
      <c r="D9" t="s">
        <v>151</v>
      </c>
    </row>
    <row r="10" spans="1:8" x14ac:dyDescent="0.2">
      <c r="A10" t="s">
        <v>194</v>
      </c>
      <c r="B10">
        <f>SQRT(B9)</f>
        <v>125.67020331009256</v>
      </c>
      <c r="C10" t="s">
        <v>91</v>
      </c>
    </row>
    <row r="11" spans="1:8" x14ac:dyDescent="0.2">
      <c r="A11" s="2" t="s">
        <v>105</v>
      </c>
    </row>
    <row r="12" spans="1:8" x14ac:dyDescent="0.2">
      <c r="A12" t="s">
        <v>106</v>
      </c>
      <c r="B12" s="4">
        <v>3</v>
      </c>
      <c r="C12" s="7" t="s">
        <v>91</v>
      </c>
      <c r="D12" t="s">
        <v>124</v>
      </c>
      <c r="E12">
        <f>B12*100/2.54</f>
        <v>118.11023622047244</v>
      </c>
      <c r="F12" t="s">
        <v>125</v>
      </c>
    </row>
    <row r="13" spans="1:8" x14ac:dyDescent="0.2">
      <c r="A13" t="s">
        <v>123</v>
      </c>
      <c r="B13">
        <v>5</v>
      </c>
      <c r="D13" t="s">
        <v>93</v>
      </c>
    </row>
    <row r="14" spans="1:8" x14ac:dyDescent="0.2">
      <c r="A14" t="s">
        <v>15</v>
      </c>
      <c r="B14">
        <v>1.5</v>
      </c>
      <c r="C14" t="s">
        <v>94</v>
      </c>
      <c r="D14" t="s">
        <v>93</v>
      </c>
    </row>
    <row r="15" spans="1:8" x14ac:dyDescent="0.2">
      <c r="A15" t="s">
        <v>95</v>
      </c>
      <c r="B15">
        <v>0.4</v>
      </c>
      <c r="D15" t="s">
        <v>93</v>
      </c>
    </row>
    <row r="16" spans="1:8" x14ac:dyDescent="0.2">
      <c r="A16" t="s">
        <v>96</v>
      </c>
      <c r="B16" s="10">
        <f>B14/(1-B15)</f>
        <v>2.5</v>
      </c>
      <c r="C16" t="s">
        <v>94</v>
      </c>
      <c r="D16" t="s">
        <v>147</v>
      </c>
    </row>
    <row r="17" spans="1:4" x14ac:dyDescent="0.2">
      <c r="A17" s="2" t="s">
        <v>108</v>
      </c>
      <c r="B17" s="1"/>
      <c r="C17" s="7"/>
    </row>
    <row r="18" spans="1:4" x14ac:dyDescent="0.2">
      <c r="A18" t="s">
        <v>99</v>
      </c>
      <c r="B18" s="1">
        <v>2.0999999999999998E-6</v>
      </c>
      <c r="C18" s="7" t="s">
        <v>100</v>
      </c>
    </row>
    <row r="19" spans="1:4" x14ac:dyDescent="0.2">
      <c r="A19" s="2" t="s">
        <v>109</v>
      </c>
    </row>
    <row r="20" spans="1:4" x14ac:dyDescent="0.2">
      <c r="A20" t="s">
        <v>112</v>
      </c>
      <c r="B20" s="10">
        <f>0.01*B4/(1/B5-1/B7)</f>
        <v>0.18750000000000006</v>
      </c>
      <c r="D20" t="s">
        <v>122</v>
      </c>
    </row>
    <row r="21" spans="1:4" x14ac:dyDescent="0.2">
      <c r="A21" s="8" t="s">
        <v>111</v>
      </c>
      <c r="B21" s="10">
        <f>0.01*B13/(1/B14-1/B16)</f>
        <v>0.18750000000000006</v>
      </c>
      <c r="D21" t="s">
        <v>122</v>
      </c>
    </row>
    <row r="22" spans="1:4" x14ac:dyDescent="0.2">
      <c r="A22" t="s">
        <v>107</v>
      </c>
      <c r="B22" s="1">
        <f>0.07*EXP(-4*(B20-B20*B6^2+B20^5))</f>
        <v>3.7246883266009015E-2</v>
      </c>
      <c r="C22" t="s">
        <v>98</v>
      </c>
    </row>
    <row r="23" spans="1:4" x14ac:dyDescent="0.2">
      <c r="A23" t="s">
        <v>110</v>
      </c>
      <c r="B23" s="1">
        <f>0.07*EXP(-4*(B21-B21*B15^2+B21^5))</f>
        <v>3.7246883266009015E-2</v>
      </c>
      <c r="C23" t="s">
        <v>98</v>
      </c>
    </row>
    <row r="25" spans="1:4" x14ac:dyDescent="0.2">
      <c r="A25" s="8"/>
    </row>
    <row r="27" spans="1:4" x14ac:dyDescent="0.2">
      <c r="A27" t="s">
        <v>101</v>
      </c>
      <c r="B27" s="1">
        <f>TANH(SQRT(B18/B22)*B3*100)</f>
        <v>0.99791053811622299</v>
      </c>
    </row>
    <row r="28" spans="1:4" x14ac:dyDescent="0.2">
      <c r="A28" s="9" t="s">
        <v>102</v>
      </c>
      <c r="B28" s="1">
        <f>10000*B5*B8*SQRT(B18*B22)*B27</f>
        <v>0.83727375839565699</v>
      </c>
      <c r="C28" t="s">
        <v>103</v>
      </c>
    </row>
    <row r="30" spans="1:4" x14ac:dyDescent="0.2">
      <c r="A30" t="s">
        <v>119</v>
      </c>
    </row>
    <row r="31" spans="1:4" x14ac:dyDescent="0.2">
      <c r="A31" t="s">
        <v>113</v>
      </c>
      <c r="B31">
        <f>B6^2*B22*(1-0.26*B20)^2</f>
        <v>5.3926130709736012E-3</v>
      </c>
      <c r="C31" t="s">
        <v>98</v>
      </c>
    </row>
    <row r="32" spans="1:4" x14ac:dyDescent="0.2">
      <c r="A32" t="s">
        <v>114</v>
      </c>
      <c r="B32">
        <f>B15^2*B23*(1-0.26*B21)^2</f>
        <v>5.3926130709736012E-3</v>
      </c>
      <c r="C32" t="s">
        <v>98</v>
      </c>
    </row>
    <row r="33" spans="1:10" x14ac:dyDescent="0.2">
      <c r="A33" t="s">
        <v>115</v>
      </c>
      <c r="B33">
        <f>SQRT(B$18/B22)</f>
        <v>7.5086987106567551E-3</v>
      </c>
      <c r="C33" t="s">
        <v>117</v>
      </c>
    </row>
    <row r="34" spans="1:10" x14ac:dyDescent="0.2">
      <c r="A34" t="s">
        <v>116</v>
      </c>
      <c r="B34">
        <f>SQRT(B$18/B23)</f>
        <v>7.5086987106567551E-3</v>
      </c>
      <c r="C34" t="s">
        <v>117</v>
      </c>
    </row>
    <row r="36" spans="1:10" x14ac:dyDescent="0.2">
      <c r="A36" s="9" t="s">
        <v>118</v>
      </c>
      <c r="B36" s="1">
        <f>2*B28*EXP(-B34*B12*100)/((1+SQRT(B31/B32)*TANH(B33*B12*100))+(1-SQRT(B31/B32)*TANH(B33*B12*100))*EXP(-2*B34*B12))</f>
        <v>8.8060413861056161E-2</v>
      </c>
      <c r="C36" t="s">
        <v>121</v>
      </c>
    </row>
    <row r="38" spans="1:10" x14ac:dyDescent="0.2">
      <c r="E38" t="s">
        <v>191</v>
      </c>
    </row>
    <row r="39" spans="1:10" x14ac:dyDescent="0.2">
      <c r="B39" t="s">
        <v>131</v>
      </c>
      <c r="E39" t="s">
        <v>193</v>
      </c>
      <c r="F39" t="s">
        <v>192</v>
      </c>
      <c r="G39" t="s">
        <v>195</v>
      </c>
    </row>
    <row r="40" spans="1:10" x14ac:dyDescent="0.2">
      <c r="A40" t="s">
        <v>190</v>
      </c>
      <c r="B40" s="1">
        <v>26.9</v>
      </c>
      <c r="E40">
        <v>27.8</v>
      </c>
      <c r="F40" s="1">
        <f>RepresentitiveConcentrationRev2!S16</f>
        <v>163.04207282910733</v>
      </c>
      <c r="G40" s="1">
        <f>RepresentitiveConcentrationRev2!V16/((100*0.3048)^2*Radon!B3*Radon!B5*1000000)*1000000000000</f>
        <v>26.877282356636446</v>
      </c>
    </row>
    <row r="41" spans="1:10" x14ac:dyDescent="0.2">
      <c r="A41" s="11" t="s">
        <v>120</v>
      </c>
      <c r="B41" s="12">
        <f>B36*B40</f>
        <v>2.3688251328624106</v>
      </c>
      <c r="C41" s="1"/>
    </row>
    <row r="42" spans="1:10" x14ac:dyDescent="0.2">
      <c r="A42" s="11" t="s">
        <v>152</v>
      </c>
      <c r="B42" s="12">
        <f>B41*B9</f>
        <v>37410.855323296048</v>
      </c>
    </row>
    <row r="44" spans="1:10" x14ac:dyDescent="0.2">
      <c r="A44" s="2" t="s">
        <v>164</v>
      </c>
    </row>
    <row r="45" spans="1:10" x14ac:dyDescent="0.2">
      <c r="A45" t="s">
        <v>172</v>
      </c>
      <c r="B45">
        <f>B10/4.3</f>
        <v>29.225628676765712</v>
      </c>
      <c r="C45">
        <v>900</v>
      </c>
      <c r="D45">
        <v>410</v>
      </c>
      <c r="E45" t="s">
        <v>173</v>
      </c>
    </row>
    <row r="46" spans="1:10" ht="38.25" x14ac:dyDescent="0.2">
      <c r="A46" t="str">
        <f>OffsiteInhalation!A4</f>
        <v>Receptor</v>
      </c>
      <c r="B46" s="6" t="s">
        <v>63</v>
      </c>
      <c r="C46" s="6" t="str">
        <f>OffsiteInhalation!C4</f>
        <v>X/Q (F and 2), s/m3</v>
      </c>
      <c r="D46" s="6" t="str">
        <f>OffsiteInhalation!D4</f>
        <v>X/Q (D and 4), s/m3</v>
      </c>
      <c r="E46" s="6" t="s">
        <v>162</v>
      </c>
      <c r="F46" s="6" t="s">
        <v>163</v>
      </c>
      <c r="G46" s="6" t="s">
        <v>166</v>
      </c>
      <c r="H46" s="6" t="s">
        <v>167</v>
      </c>
      <c r="I46" s="6" t="s">
        <v>168</v>
      </c>
      <c r="J46" s="6" t="s">
        <v>169</v>
      </c>
    </row>
    <row r="47" spans="1:10" x14ac:dyDescent="0.2">
      <c r="A47" t="str">
        <f>OffsiteInhalation!A5</f>
        <v>So Office</v>
      </c>
      <c r="B47">
        <f>OffsiteInhalation!B5</f>
        <v>300</v>
      </c>
      <c r="C47">
        <v>6.8053466875264202E-4</v>
      </c>
      <c r="D47" s="1">
        <v>8.8064226289864196E-5</v>
      </c>
      <c r="E47" s="1">
        <f>$B$42*C47/1000</f>
        <v>2.5459384035192292E-2</v>
      </c>
      <c r="F47" s="1">
        <f t="shared" ref="F47:F50" si="0">$B$42*D47/1000</f>
        <v>3.2945580288881136E-3</v>
      </c>
      <c r="G47" s="1">
        <f>$F$102*E47/100*$B$52/170</f>
        <v>3.0551260842230752E-3</v>
      </c>
      <c r="H47" s="1">
        <f>$F$102*F47/100*$B$52/170</f>
        <v>3.953469634665737E-4</v>
      </c>
      <c r="I47" s="1">
        <f>G47*760</f>
        <v>2.3218958240095371</v>
      </c>
      <c r="J47" s="1">
        <f t="shared" ref="J47:J49" si="1">H47*760</f>
        <v>0.30046369223459601</v>
      </c>
    </row>
    <row r="48" spans="1:10" x14ac:dyDescent="0.2">
      <c r="A48" t="str">
        <f>OffsiteInhalation!A6</f>
        <v>Main Office</v>
      </c>
      <c r="B48">
        <f>OffsiteInhalation!B6</f>
        <v>400</v>
      </c>
      <c r="C48">
        <v>5.3646831239572703E-4</v>
      </c>
      <c r="D48" s="1">
        <v>6.9949215511426295E-5</v>
      </c>
      <c r="E48" s="1">
        <f t="shared" ref="E48:E50" si="2">$B$42*C48/1000</f>
        <v>2.0069738420569333E-2</v>
      </c>
      <c r="F48" s="1">
        <f t="shared" si="0"/>
        <v>2.6168599814760246E-3</v>
      </c>
      <c r="G48" s="1">
        <f>$F$102*E48/100*$B$52/170</f>
        <v>2.4083686104683201E-3</v>
      </c>
      <c r="H48" s="1">
        <f>$F$102*F48/100*$B$52/170</f>
        <v>3.1402319777712294E-4</v>
      </c>
      <c r="I48" s="1">
        <f t="shared" ref="I48:I49" si="3">G48*760</f>
        <v>1.8303601439559234</v>
      </c>
      <c r="J48" s="1">
        <f t="shared" si="1"/>
        <v>0.23865763031061343</v>
      </c>
    </row>
    <row r="49" spans="1:10" x14ac:dyDescent="0.2">
      <c r="A49" t="str">
        <f>OffsiteInhalation!A7</f>
        <v>School</v>
      </c>
      <c r="B49">
        <f>OffsiteInhalation!B7</f>
        <v>700</v>
      </c>
      <c r="C49">
        <v>4.3663914568296998E-4</v>
      </c>
      <c r="D49" s="1">
        <v>3.5861069120848701E-5</v>
      </c>
      <c r="E49" s="1">
        <f t="shared" si="2"/>
        <v>1.6335043907633174E-2</v>
      </c>
      <c r="F49" s="1">
        <f t="shared" si="0"/>
        <v>1.3415932686187901E-3</v>
      </c>
      <c r="G49" s="1">
        <f>$F$102*E49/100*$B$53/170</f>
        <v>1.4701539516869856E-3</v>
      </c>
      <c r="H49" s="1">
        <f>$F$102*F49/100*$B$53/170</f>
        <v>1.207433941756911E-4</v>
      </c>
      <c r="I49" s="1">
        <f t="shared" si="3"/>
        <v>1.1173170032821091</v>
      </c>
      <c r="J49" s="1">
        <f t="shared" si="1"/>
        <v>9.1764979573525238E-2</v>
      </c>
    </row>
    <row r="50" spans="1:10" x14ac:dyDescent="0.2">
      <c r="A50" t="s">
        <v>284</v>
      </c>
      <c r="B50">
        <v>700</v>
      </c>
      <c r="C50">
        <v>4.3663914568296998E-4</v>
      </c>
      <c r="D50" s="1">
        <v>3.5861069120848701E-5</v>
      </c>
      <c r="E50" s="1">
        <f t="shared" si="2"/>
        <v>1.6335043907633174E-2</v>
      </c>
      <c r="F50" s="1">
        <f t="shared" si="0"/>
        <v>1.3415932686187901E-3</v>
      </c>
      <c r="G50" s="1">
        <f>$F$102*E50/100*$B$54/170</f>
        <v>8.0714334602422742E-3</v>
      </c>
      <c r="H50" s="1">
        <f>$F$102*F50/100*$B$54/170</f>
        <v>6.6290490919987269E-4</v>
      </c>
      <c r="I50" s="1">
        <f t="shared" ref="I50" si="4">G50*760</f>
        <v>6.1342894297841282</v>
      </c>
      <c r="J50" s="1">
        <f t="shared" ref="J50" si="5">H50*760</f>
        <v>0.50380773099190324</v>
      </c>
    </row>
    <row r="52" spans="1:10" x14ac:dyDescent="0.2">
      <c r="A52" t="s">
        <v>279</v>
      </c>
      <c r="B52">
        <f>170*12</f>
        <v>2040</v>
      </c>
      <c r="C52" t="s">
        <v>280</v>
      </c>
    </row>
    <row r="53" spans="1:10" x14ac:dyDescent="0.2">
      <c r="A53" t="s">
        <v>281</v>
      </c>
      <c r="B53">
        <f>170*9</f>
        <v>1530</v>
      </c>
      <c r="C53" t="s">
        <v>174</v>
      </c>
    </row>
    <row r="54" spans="1:10" x14ac:dyDescent="0.2">
      <c r="A54" t="s">
        <v>282</v>
      </c>
      <c r="B54">
        <f>24*350</f>
        <v>8400</v>
      </c>
      <c r="C54" t="s">
        <v>283</v>
      </c>
    </row>
    <row r="55" spans="1:10" x14ac:dyDescent="0.2">
      <c r="A55" t="s">
        <v>170</v>
      </c>
      <c r="B55">
        <v>760</v>
      </c>
      <c r="C55" t="s">
        <v>171</v>
      </c>
      <c r="G55" s="1"/>
      <c r="H55" s="1"/>
      <c r="I55" s="1"/>
      <c r="J55" s="1"/>
    </row>
    <row r="56" spans="1:10" x14ac:dyDescent="0.2">
      <c r="G56" s="1"/>
      <c r="H56" s="1"/>
      <c r="I56" s="1"/>
      <c r="J56" s="1"/>
    </row>
    <row r="57" spans="1:10" x14ac:dyDescent="0.2">
      <c r="A57" s="2" t="s">
        <v>153</v>
      </c>
      <c r="B57">
        <v>2</v>
      </c>
      <c r="C57">
        <v>4</v>
      </c>
      <c r="D57" t="s">
        <v>155</v>
      </c>
      <c r="G57" s="1"/>
      <c r="H57" s="1"/>
      <c r="I57" s="1"/>
      <c r="J57" s="1"/>
    </row>
    <row r="58" spans="1:10" x14ac:dyDescent="0.2">
      <c r="A58" t="s">
        <v>63</v>
      </c>
      <c r="B58" t="s">
        <v>154</v>
      </c>
      <c r="C58" t="s">
        <v>154</v>
      </c>
      <c r="G58" s="1"/>
      <c r="H58" s="1"/>
      <c r="I58" s="1"/>
      <c r="J58" s="1"/>
    </row>
    <row r="59" spans="1:10" x14ac:dyDescent="0.2">
      <c r="A59">
        <v>300</v>
      </c>
      <c r="B59">
        <f t="shared" ref="B59:C61" si="6">A59/B$57</f>
        <v>150</v>
      </c>
      <c r="C59">
        <f t="shared" si="6"/>
        <v>37.5</v>
      </c>
      <c r="G59" s="1"/>
      <c r="H59" s="1"/>
      <c r="I59" s="1"/>
      <c r="J59" s="1"/>
    </row>
    <row r="60" spans="1:10" x14ac:dyDescent="0.2">
      <c r="A60">
        <v>400</v>
      </c>
      <c r="B60">
        <f t="shared" si="6"/>
        <v>200</v>
      </c>
      <c r="C60">
        <f t="shared" si="6"/>
        <v>50</v>
      </c>
      <c r="G60" s="1"/>
      <c r="H60" s="1"/>
      <c r="I60" s="1"/>
      <c r="J60" s="1"/>
    </row>
    <row r="61" spans="1:10" x14ac:dyDescent="0.2">
      <c r="A61">
        <v>700</v>
      </c>
      <c r="B61">
        <f t="shared" si="6"/>
        <v>350</v>
      </c>
      <c r="C61">
        <f t="shared" si="6"/>
        <v>87.5</v>
      </c>
      <c r="G61" s="1"/>
      <c r="H61" s="1"/>
      <c r="I61" s="1"/>
      <c r="J61" s="1"/>
    </row>
    <row r="62" spans="1:10" x14ac:dyDescent="0.2">
      <c r="G62" s="1"/>
      <c r="H62" s="1"/>
      <c r="I62" s="1"/>
      <c r="J62" s="1"/>
    </row>
    <row r="63" spans="1:10" x14ac:dyDescent="0.2">
      <c r="A63" t="s">
        <v>156</v>
      </c>
      <c r="B63" t="s">
        <v>157</v>
      </c>
      <c r="C63" t="s">
        <v>158</v>
      </c>
      <c r="D63" t="s">
        <v>159</v>
      </c>
      <c r="E63" t="s">
        <v>160</v>
      </c>
      <c r="F63" t="s">
        <v>161</v>
      </c>
      <c r="G63" s="1"/>
      <c r="H63" s="1"/>
      <c r="I63" s="1"/>
      <c r="J63" s="1"/>
    </row>
    <row r="64" spans="1:10" x14ac:dyDescent="0.2">
      <c r="A64">
        <v>0</v>
      </c>
      <c r="B64" s="1">
        <v>1</v>
      </c>
      <c r="C64" s="1">
        <v>0.9</v>
      </c>
      <c r="D64" s="1">
        <v>0.7</v>
      </c>
      <c r="E64" s="1">
        <v>0.6</v>
      </c>
      <c r="F64" s="1">
        <f>C64*0.105+D64*0.516+E64*0.379</f>
        <v>0.68310000000000004</v>
      </c>
      <c r="G64" s="1"/>
      <c r="H64" s="1"/>
      <c r="I64" s="1"/>
      <c r="J64" s="1"/>
    </row>
    <row r="65" spans="1:10" x14ac:dyDescent="0.2">
      <c r="A65">
        <v>10</v>
      </c>
      <c r="B65" s="1">
        <v>1</v>
      </c>
      <c r="C65" s="1">
        <v>0.90369999999999995</v>
      </c>
      <c r="D65" s="1">
        <v>0.70089999999999997</v>
      </c>
      <c r="E65" s="1">
        <v>0.60060000000000002</v>
      </c>
      <c r="F65" s="1">
        <f t="shared" ref="F65:F99" si="7">C65*0.105+D65*0.516+E65*0.379</f>
        <v>0.68418029999999996</v>
      </c>
      <c r="G65" s="1"/>
      <c r="H65" s="1"/>
      <c r="I65" s="1"/>
      <c r="J65" s="1"/>
    </row>
    <row r="66" spans="1:10" x14ac:dyDescent="0.2">
      <c r="A66">
        <v>20</v>
      </c>
      <c r="B66" s="1">
        <v>1</v>
      </c>
      <c r="C66" s="1">
        <v>0.9073</v>
      </c>
      <c r="D66" s="1">
        <v>0.70169999999999999</v>
      </c>
      <c r="E66" s="1">
        <v>0.60119999999999996</v>
      </c>
      <c r="F66" s="1">
        <f t="shared" si="7"/>
        <v>0.68519849999999993</v>
      </c>
      <c r="G66" s="1"/>
      <c r="H66" s="1"/>
      <c r="I66" s="1"/>
      <c r="J66" s="1"/>
    </row>
    <row r="67" spans="1:10" x14ac:dyDescent="0.2">
      <c r="A67">
        <v>30</v>
      </c>
      <c r="B67" s="1">
        <v>0.99990000000000001</v>
      </c>
      <c r="C67" s="1">
        <v>0.91069999999999995</v>
      </c>
      <c r="D67" s="1">
        <v>0.7026</v>
      </c>
      <c r="E67" s="1">
        <v>0.6018</v>
      </c>
      <c r="F67" s="1">
        <f t="shared" si="7"/>
        <v>0.6862473</v>
      </c>
      <c r="G67" s="1"/>
      <c r="H67" s="1"/>
      <c r="I67" s="1"/>
      <c r="J67" s="1"/>
    </row>
    <row r="68" spans="1:10" x14ac:dyDescent="0.2">
      <c r="A68">
        <v>40</v>
      </c>
      <c r="B68" s="1">
        <v>0.99990000000000001</v>
      </c>
      <c r="C68" s="1">
        <v>0.91410000000000002</v>
      </c>
      <c r="D68" s="1">
        <v>0.70350000000000001</v>
      </c>
      <c r="E68" s="1">
        <v>0.60240000000000005</v>
      </c>
      <c r="F68" s="1">
        <f t="shared" si="7"/>
        <v>0.68729609999999997</v>
      </c>
      <c r="G68" s="1"/>
      <c r="H68" s="1"/>
      <c r="I68" s="1"/>
      <c r="J68" s="1"/>
    </row>
    <row r="69" spans="1:10" x14ac:dyDescent="0.2">
      <c r="A69">
        <v>50</v>
      </c>
      <c r="B69" s="1">
        <v>0.99990000000000001</v>
      </c>
      <c r="C69" s="1">
        <v>0.9173</v>
      </c>
      <c r="D69" s="1">
        <v>0.70450000000000002</v>
      </c>
      <c r="E69" s="1">
        <v>0.60299999999999998</v>
      </c>
      <c r="F69" s="1">
        <f t="shared" si="7"/>
        <v>0.68837550000000003</v>
      </c>
      <c r="G69" s="1"/>
      <c r="H69" s="1"/>
      <c r="I69" s="1"/>
      <c r="J69" s="1"/>
    </row>
    <row r="70" spans="1:10" x14ac:dyDescent="0.2">
      <c r="A70">
        <v>60</v>
      </c>
      <c r="B70" s="1">
        <v>0.99990000000000001</v>
      </c>
      <c r="C70" s="1">
        <v>0.92030000000000001</v>
      </c>
      <c r="D70" s="1">
        <v>0.70540000000000003</v>
      </c>
      <c r="E70" s="1">
        <v>0.60350000000000004</v>
      </c>
      <c r="F70" s="1">
        <f t="shared" si="7"/>
        <v>0.68934440000000008</v>
      </c>
      <c r="G70" s="1"/>
      <c r="H70" s="1"/>
      <c r="I70" s="1"/>
      <c r="J70" s="1"/>
    </row>
    <row r="71" spans="1:10" x14ac:dyDescent="0.2">
      <c r="A71">
        <v>70</v>
      </c>
      <c r="B71" s="1">
        <v>0.99990000000000001</v>
      </c>
      <c r="C71" s="1">
        <v>0.92330000000000001</v>
      </c>
      <c r="D71" s="1">
        <v>0.70630000000000004</v>
      </c>
      <c r="E71" s="1">
        <v>0.60409999999999997</v>
      </c>
      <c r="F71" s="1">
        <f t="shared" si="7"/>
        <v>0.69035120000000005</v>
      </c>
      <c r="G71" s="1"/>
      <c r="H71" s="1"/>
      <c r="I71" s="1"/>
      <c r="J71" s="1"/>
    </row>
    <row r="72" spans="1:10" x14ac:dyDescent="0.2">
      <c r="A72">
        <v>80</v>
      </c>
      <c r="B72" s="1">
        <v>0.99980000000000002</v>
      </c>
      <c r="C72" s="1">
        <v>0.92610000000000003</v>
      </c>
      <c r="D72" s="1">
        <v>0.70720000000000005</v>
      </c>
      <c r="E72" s="1">
        <v>0.60470000000000002</v>
      </c>
      <c r="F72" s="1">
        <f t="shared" si="7"/>
        <v>0.69133700000000009</v>
      </c>
      <c r="G72" s="1"/>
      <c r="H72" s="1"/>
      <c r="I72" s="1"/>
      <c r="J72" s="1"/>
    </row>
    <row r="73" spans="1:10" x14ac:dyDescent="0.2">
      <c r="A73">
        <v>90</v>
      </c>
      <c r="B73" s="1">
        <v>0.99980000000000002</v>
      </c>
      <c r="C73" s="1">
        <v>0.92889999999999995</v>
      </c>
      <c r="D73" s="1">
        <v>0.70820000000000005</v>
      </c>
      <c r="E73" s="1">
        <v>0.60529999999999995</v>
      </c>
      <c r="F73" s="1">
        <f t="shared" si="7"/>
        <v>0.69237440000000006</v>
      </c>
      <c r="G73" s="1"/>
      <c r="H73" s="1"/>
      <c r="I73" s="1"/>
      <c r="J73" s="1"/>
    </row>
    <row r="74" spans="1:10" x14ac:dyDescent="0.2">
      <c r="A74">
        <v>100</v>
      </c>
      <c r="B74" s="1">
        <v>0.99980000000000002</v>
      </c>
      <c r="C74" s="1">
        <v>0.93149999999999999</v>
      </c>
      <c r="D74" s="1">
        <v>0.70909999999999995</v>
      </c>
      <c r="E74" s="1">
        <v>0.60589999999999999</v>
      </c>
      <c r="F74" s="1">
        <f t="shared" si="7"/>
        <v>0.69333920000000004</v>
      </c>
      <c r="G74" s="1"/>
      <c r="H74" s="1"/>
      <c r="I74" s="1"/>
      <c r="J74" s="1"/>
    </row>
    <row r="75" spans="1:10" x14ac:dyDescent="0.2">
      <c r="A75">
        <v>110</v>
      </c>
      <c r="B75" s="1">
        <v>0.99980000000000002</v>
      </c>
      <c r="C75" s="1">
        <v>0.93400000000000005</v>
      </c>
      <c r="D75" s="1">
        <v>0.71009999999999995</v>
      </c>
      <c r="E75" s="1">
        <v>0.60660000000000003</v>
      </c>
      <c r="F75" s="1">
        <f t="shared" si="7"/>
        <v>0.69438299999999997</v>
      </c>
      <c r="G75" s="1"/>
      <c r="H75" s="1"/>
      <c r="I75" s="1"/>
      <c r="J75" s="1"/>
    </row>
    <row r="76" spans="1:10" x14ac:dyDescent="0.2">
      <c r="A76">
        <v>120</v>
      </c>
      <c r="B76" s="1">
        <v>0.99970000000000003</v>
      </c>
      <c r="C76" s="1">
        <v>0.9365</v>
      </c>
      <c r="D76" s="1">
        <v>0.71109999999999995</v>
      </c>
      <c r="E76" s="1">
        <v>0.60719999999999996</v>
      </c>
      <c r="F76" s="1">
        <f t="shared" si="7"/>
        <v>0.69538889999999998</v>
      </c>
      <c r="G76" s="1"/>
      <c r="H76" s="1"/>
      <c r="I76" s="1"/>
      <c r="J76" s="1"/>
    </row>
    <row r="77" spans="1:10" x14ac:dyDescent="0.2">
      <c r="A77">
        <v>130</v>
      </c>
      <c r="B77" s="1">
        <v>0.99970000000000003</v>
      </c>
      <c r="C77" s="1">
        <v>0.93879999999999997</v>
      </c>
      <c r="D77" s="1">
        <v>0.71209999999999996</v>
      </c>
      <c r="E77" s="1">
        <v>0.60780000000000001</v>
      </c>
      <c r="F77" s="1">
        <f t="shared" si="7"/>
        <v>0.69637379999999993</v>
      </c>
      <c r="G77" s="1"/>
      <c r="H77" s="1"/>
      <c r="I77" s="1"/>
      <c r="J77" s="1"/>
    </row>
    <row r="78" spans="1:10" x14ac:dyDescent="0.2">
      <c r="A78">
        <v>140</v>
      </c>
      <c r="B78" s="1">
        <v>0.99970000000000003</v>
      </c>
      <c r="C78" s="1">
        <v>0.94110000000000005</v>
      </c>
      <c r="D78" s="1">
        <v>0.71299999999999997</v>
      </c>
      <c r="E78" s="1">
        <v>0.60840000000000005</v>
      </c>
      <c r="F78" s="1">
        <f t="shared" si="7"/>
        <v>0.69730710000000007</v>
      </c>
      <c r="G78" s="1"/>
      <c r="H78" s="1"/>
      <c r="I78" s="1"/>
      <c r="J78" s="1"/>
    </row>
    <row r="79" spans="1:10" x14ac:dyDescent="0.2">
      <c r="A79">
        <v>150</v>
      </c>
      <c r="B79" s="1">
        <v>0.99970000000000003</v>
      </c>
      <c r="C79" s="1">
        <v>0.94330000000000003</v>
      </c>
      <c r="D79" s="1">
        <v>0.71399999999999997</v>
      </c>
      <c r="E79" s="1">
        <v>0.60899999999999999</v>
      </c>
      <c r="F79" s="1">
        <f t="shared" si="7"/>
        <v>0.6982815</v>
      </c>
      <c r="G79" s="1"/>
      <c r="H79" s="1"/>
      <c r="I79" s="1"/>
      <c r="J79" s="1"/>
    </row>
    <row r="80" spans="1:10" x14ac:dyDescent="0.2">
      <c r="A80">
        <v>160</v>
      </c>
      <c r="B80" s="1">
        <v>0.99970000000000003</v>
      </c>
      <c r="C80" s="1">
        <v>0.94540000000000002</v>
      </c>
      <c r="D80" s="1">
        <v>0.71499999999999997</v>
      </c>
      <c r="E80" s="1">
        <v>0.60960000000000003</v>
      </c>
      <c r="F80" s="1">
        <f t="shared" si="7"/>
        <v>0.69924540000000002</v>
      </c>
      <c r="G80" s="1"/>
      <c r="H80" s="1"/>
      <c r="I80" s="1"/>
      <c r="J80" s="1"/>
    </row>
    <row r="81" spans="1:10" x14ac:dyDescent="0.2">
      <c r="A81">
        <v>170</v>
      </c>
      <c r="B81" s="1">
        <v>0.99960000000000004</v>
      </c>
      <c r="C81" s="1">
        <v>0.94740000000000002</v>
      </c>
      <c r="D81" s="1">
        <v>0.71599999999999997</v>
      </c>
      <c r="E81" s="1">
        <v>0.61019999999999996</v>
      </c>
      <c r="F81" s="1">
        <f t="shared" si="7"/>
        <v>0.70019880000000001</v>
      </c>
      <c r="G81" s="1"/>
      <c r="H81" s="1"/>
      <c r="I81" s="1"/>
      <c r="J81" s="1"/>
    </row>
    <row r="82" spans="1:10" x14ac:dyDescent="0.2">
      <c r="A82">
        <v>180</v>
      </c>
      <c r="B82" s="1">
        <v>0.99960000000000004</v>
      </c>
      <c r="C82" s="1">
        <v>0.94930000000000003</v>
      </c>
      <c r="D82" s="1">
        <v>0.71699999999999997</v>
      </c>
      <c r="E82" s="1">
        <v>0.6109</v>
      </c>
      <c r="F82" s="1">
        <f t="shared" si="7"/>
        <v>0.7011795999999999</v>
      </c>
      <c r="G82" s="1"/>
      <c r="H82" s="1"/>
      <c r="I82" s="1"/>
      <c r="J82" s="1"/>
    </row>
    <row r="83" spans="1:10" x14ac:dyDescent="0.2">
      <c r="A83">
        <v>190</v>
      </c>
      <c r="B83" s="1">
        <v>0.99960000000000004</v>
      </c>
      <c r="C83" s="1">
        <v>0.95120000000000005</v>
      </c>
      <c r="D83" s="1">
        <v>0.71799999999999997</v>
      </c>
      <c r="E83" s="1">
        <v>0.61150000000000004</v>
      </c>
      <c r="F83" s="1">
        <f t="shared" si="7"/>
        <v>0.70212249999999998</v>
      </c>
      <c r="G83" s="1"/>
      <c r="H83" s="1"/>
      <c r="I83" s="1"/>
      <c r="J83" s="1"/>
    </row>
    <row r="84" spans="1:10" x14ac:dyDescent="0.2">
      <c r="A84">
        <v>200</v>
      </c>
      <c r="B84" s="1">
        <v>0.99960000000000004</v>
      </c>
      <c r="C84" s="1">
        <v>0.95299999999999996</v>
      </c>
      <c r="D84" s="1">
        <v>0.71899999999999997</v>
      </c>
      <c r="E84" s="1">
        <v>0.61209999999999998</v>
      </c>
      <c r="F84" s="1">
        <f t="shared" si="7"/>
        <v>0.70305489999999993</v>
      </c>
      <c r="G84" s="1"/>
      <c r="H84" s="1"/>
      <c r="I84" s="1"/>
      <c r="J84" s="1"/>
    </row>
    <row r="85" spans="1:10" x14ac:dyDescent="0.2">
      <c r="A85">
        <v>210</v>
      </c>
      <c r="B85" s="1">
        <v>0.99960000000000004</v>
      </c>
      <c r="C85" s="1">
        <v>0.95469999999999999</v>
      </c>
      <c r="D85" s="1">
        <v>0.72</v>
      </c>
      <c r="E85" s="1">
        <v>0.61270000000000002</v>
      </c>
      <c r="F85" s="1">
        <f t="shared" si="7"/>
        <v>0.70397679999999996</v>
      </c>
    </row>
    <row r="86" spans="1:10" x14ac:dyDescent="0.2">
      <c r="A86">
        <v>220</v>
      </c>
      <c r="B86" s="1">
        <v>0.99950000000000006</v>
      </c>
      <c r="C86" s="1">
        <v>0.95640000000000003</v>
      </c>
      <c r="D86" s="1">
        <v>0.72099999999999997</v>
      </c>
      <c r="E86" s="1">
        <v>0.61339999999999995</v>
      </c>
      <c r="F86" s="1">
        <f t="shared" si="7"/>
        <v>0.70493659999999991</v>
      </c>
    </row>
    <row r="87" spans="1:10" x14ac:dyDescent="0.2">
      <c r="A87">
        <v>230</v>
      </c>
      <c r="B87" s="1">
        <v>0.99950000000000006</v>
      </c>
      <c r="C87" s="1">
        <v>0.95799999999999996</v>
      </c>
      <c r="D87" s="1">
        <v>0.72209999999999996</v>
      </c>
      <c r="E87" s="1">
        <v>0.61399999999999999</v>
      </c>
      <c r="F87" s="1">
        <f t="shared" si="7"/>
        <v>0.70589959999999996</v>
      </c>
    </row>
    <row r="88" spans="1:10" x14ac:dyDescent="0.2">
      <c r="A88">
        <v>240</v>
      </c>
      <c r="B88" s="1">
        <v>0.99950000000000006</v>
      </c>
      <c r="C88" s="1">
        <v>0.95960000000000001</v>
      </c>
      <c r="D88" s="1">
        <v>0.72309999999999997</v>
      </c>
      <c r="E88" s="1">
        <v>0.61460000000000004</v>
      </c>
      <c r="F88" s="1">
        <f t="shared" si="7"/>
        <v>0.70681100000000008</v>
      </c>
    </row>
    <row r="89" spans="1:10" x14ac:dyDescent="0.2">
      <c r="A89">
        <v>250</v>
      </c>
      <c r="B89" s="1">
        <v>0.99950000000000006</v>
      </c>
      <c r="C89" s="1">
        <v>0.96099999999999997</v>
      </c>
      <c r="D89" s="1">
        <v>0.72409999999999997</v>
      </c>
      <c r="E89" s="1">
        <v>0.61529999999999996</v>
      </c>
      <c r="F89" s="1">
        <f t="shared" si="7"/>
        <v>0.70773929999999996</v>
      </c>
    </row>
    <row r="90" spans="1:10" x14ac:dyDescent="0.2">
      <c r="A90">
        <v>260</v>
      </c>
      <c r="B90" s="1">
        <v>0.99950000000000006</v>
      </c>
      <c r="C90" s="1">
        <v>0.96250000000000002</v>
      </c>
      <c r="D90" s="1">
        <v>0.72509999999999997</v>
      </c>
      <c r="E90" s="1">
        <v>0.6159</v>
      </c>
      <c r="F90" s="1">
        <f t="shared" si="7"/>
        <v>0.70864019999999994</v>
      </c>
    </row>
    <row r="91" spans="1:10" x14ac:dyDescent="0.2">
      <c r="A91">
        <v>270</v>
      </c>
      <c r="B91" s="1">
        <v>0.99939999999999996</v>
      </c>
      <c r="C91" s="1">
        <v>0.96379999999999999</v>
      </c>
      <c r="D91" s="1">
        <v>0.72609999999999997</v>
      </c>
      <c r="E91" s="1">
        <v>0.61650000000000005</v>
      </c>
      <c r="F91" s="1">
        <f t="shared" si="7"/>
        <v>0.70952009999999999</v>
      </c>
    </row>
    <row r="92" spans="1:10" x14ac:dyDescent="0.2">
      <c r="A92">
        <v>280</v>
      </c>
      <c r="B92" s="1">
        <v>0.99939999999999996</v>
      </c>
      <c r="C92" s="1">
        <v>0.96519999999999995</v>
      </c>
      <c r="D92" s="1">
        <v>0.72719999999999996</v>
      </c>
      <c r="E92" s="1">
        <v>0.61719999999999997</v>
      </c>
      <c r="F92" s="1">
        <f t="shared" si="7"/>
        <v>0.71049999999999991</v>
      </c>
    </row>
    <row r="93" spans="1:10" x14ac:dyDescent="0.2">
      <c r="A93">
        <v>290</v>
      </c>
      <c r="B93" s="1">
        <v>0.99939999999999996</v>
      </c>
      <c r="C93" s="1">
        <v>0.96640000000000004</v>
      </c>
      <c r="D93" s="1">
        <v>0.72819999999999996</v>
      </c>
      <c r="E93" s="1">
        <v>0.61780000000000002</v>
      </c>
      <c r="F93" s="1">
        <f t="shared" si="7"/>
        <v>0.71136940000000004</v>
      </c>
    </row>
    <row r="94" spans="1:10" x14ac:dyDescent="0.2">
      <c r="A94">
        <v>300</v>
      </c>
      <c r="B94" s="1">
        <v>0.99939999999999996</v>
      </c>
      <c r="C94" s="1">
        <v>0.9677</v>
      </c>
      <c r="D94" s="1">
        <v>0.72919999999999996</v>
      </c>
      <c r="E94" s="1">
        <v>0.61850000000000005</v>
      </c>
      <c r="F94" s="1">
        <f t="shared" si="7"/>
        <v>0.71228720000000001</v>
      </c>
    </row>
    <row r="95" spans="1:10" x14ac:dyDescent="0.2">
      <c r="A95">
        <v>310</v>
      </c>
      <c r="B95" s="1">
        <v>0.99929999999999997</v>
      </c>
      <c r="C95" s="1">
        <v>0.96879999999999999</v>
      </c>
      <c r="D95" s="1">
        <v>0.73019999999999996</v>
      </c>
      <c r="E95" s="1">
        <v>0.61909999999999998</v>
      </c>
      <c r="F95" s="1">
        <f t="shared" si="7"/>
        <v>0.71314609999999989</v>
      </c>
    </row>
    <row r="96" spans="1:10" x14ac:dyDescent="0.2">
      <c r="A96">
        <v>320</v>
      </c>
      <c r="B96" s="1">
        <v>0.99929999999999997</v>
      </c>
      <c r="C96" s="1">
        <v>0.97</v>
      </c>
      <c r="D96" s="1">
        <v>0.73129999999999995</v>
      </c>
      <c r="E96" s="1">
        <v>0.61980000000000002</v>
      </c>
      <c r="F96" s="1">
        <f t="shared" si="7"/>
        <v>0.71410499999999999</v>
      </c>
    </row>
    <row r="97" spans="1:6" x14ac:dyDescent="0.2">
      <c r="A97">
        <v>330</v>
      </c>
      <c r="B97" s="1">
        <v>0.99929999999999997</v>
      </c>
      <c r="C97" s="1">
        <v>0.97109999999999996</v>
      </c>
      <c r="D97" s="1">
        <v>0.73229999999999995</v>
      </c>
      <c r="E97" s="1">
        <v>0.62039999999999995</v>
      </c>
      <c r="F97" s="1">
        <f t="shared" si="7"/>
        <v>0.71496389999999999</v>
      </c>
    </row>
    <row r="98" spans="1:6" x14ac:dyDescent="0.2">
      <c r="A98">
        <v>340</v>
      </c>
      <c r="B98" s="1">
        <v>0.99929999999999997</v>
      </c>
      <c r="C98" s="1">
        <v>0.97209999999999996</v>
      </c>
      <c r="D98" s="1">
        <v>0.73329999999999995</v>
      </c>
      <c r="E98" s="1">
        <v>0.62109999999999999</v>
      </c>
      <c r="F98" s="1">
        <f t="shared" si="7"/>
        <v>0.71585019999999999</v>
      </c>
    </row>
    <row r="99" spans="1:6" x14ac:dyDescent="0.2">
      <c r="A99">
        <v>350</v>
      </c>
      <c r="B99" s="1">
        <v>0.99929999999999997</v>
      </c>
      <c r="C99" s="1">
        <v>0.97309999999999997</v>
      </c>
      <c r="D99" s="1">
        <v>0.73440000000000005</v>
      </c>
      <c r="E99" s="1">
        <v>0.62180000000000002</v>
      </c>
      <c r="F99" s="1">
        <f t="shared" si="7"/>
        <v>0.71678810000000004</v>
      </c>
    </row>
    <row r="101" spans="1:6" x14ac:dyDescent="0.2">
      <c r="E101" t="s">
        <v>165</v>
      </c>
      <c r="F101" s="1">
        <f>MAX(F64:F99)</f>
        <v>0.71678810000000004</v>
      </c>
    </row>
    <row r="102" spans="1:6" x14ac:dyDescent="0.2">
      <c r="E102" t="s">
        <v>188</v>
      </c>
      <c r="F102"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opLeftCell="H1" zoomScale="150" zoomScaleNormal="150" zoomScalePageLayoutView="150" workbookViewId="0">
      <selection activeCell="S18" sqref="S18"/>
    </sheetView>
  </sheetViews>
  <sheetFormatPr defaultColWidth="11.42578125" defaultRowHeight="12.75" x14ac:dyDescent="0.2"/>
  <cols>
    <col min="9" max="9" width="12" bestFit="1" customWidth="1"/>
  </cols>
  <sheetData>
    <row r="1" spans="1:23" x14ac:dyDescent="0.2">
      <c r="A1" s="19" t="s">
        <v>144</v>
      </c>
      <c r="B1" s="16"/>
      <c r="C1" s="16"/>
      <c r="D1" s="16"/>
      <c r="E1" s="16"/>
      <c r="F1" s="17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x14ac:dyDescent="0.2">
      <c r="A2" s="16"/>
      <c r="B2" s="16"/>
      <c r="C2" s="16"/>
      <c r="D2" s="16"/>
      <c r="E2" s="16"/>
      <c r="F2" s="20"/>
      <c r="G2" s="16"/>
      <c r="H2" s="16"/>
      <c r="I2" s="16"/>
      <c r="J2" s="16"/>
      <c r="K2" s="16"/>
      <c r="L2" s="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21" t="s">
        <v>200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22" t="s">
        <v>129</v>
      </c>
      <c r="C5" s="22" t="s">
        <v>130</v>
      </c>
      <c r="D5" s="22" t="s">
        <v>132</v>
      </c>
      <c r="E5" s="22" t="s">
        <v>133</v>
      </c>
      <c r="F5" s="22" t="s">
        <v>183</v>
      </c>
      <c r="G5" s="22" t="s">
        <v>176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" x14ac:dyDescent="0.25">
      <c r="A6" s="23" t="s">
        <v>198</v>
      </c>
      <c r="B6" s="104">
        <v>179.58522194930484</v>
      </c>
      <c r="C6" s="104">
        <v>68.466865868172476</v>
      </c>
      <c r="D6" s="16">
        <v>0.66200000000000003</v>
      </c>
      <c r="E6" s="1">
        <v>694958.14110000012</v>
      </c>
      <c r="F6" t="s">
        <v>140</v>
      </c>
      <c r="G6" s="24" t="s">
        <v>201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23" t="s">
        <v>199</v>
      </c>
      <c r="B7" s="16">
        <v>13.63</v>
      </c>
      <c r="C7" s="16">
        <v>3.56</v>
      </c>
      <c r="D7" s="16">
        <f>0.7477-0.662</f>
        <v>8.5699999999999998E-2</v>
      </c>
      <c r="E7" s="1">
        <v>90056.254950000002</v>
      </c>
      <c r="F7" t="s">
        <v>141</v>
      </c>
      <c r="G7" t="s">
        <v>202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G8" s="1">
        <f>SUM(E11:N11)</f>
        <v>120510.45539999999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9" t="s">
        <v>142</v>
      </c>
      <c r="C9" s="16"/>
      <c r="D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5" x14ac:dyDescent="0.2">
      <c r="A10" s="16"/>
      <c r="B10" s="16"/>
      <c r="C10" s="25" t="s">
        <v>177</v>
      </c>
      <c r="D10" s="26" t="s">
        <v>203</v>
      </c>
      <c r="E10" s="27" t="s">
        <v>178</v>
      </c>
      <c r="F10" s="27" t="s">
        <v>178</v>
      </c>
      <c r="G10" s="27" t="s">
        <v>178</v>
      </c>
      <c r="H10" s="27" t="s">
        <v>178</v>
      </c>
      <c r="I10" s="27" t="s">
        <v>178</v>
      </c>
      <c r="J10" s="27" t="s">
        <v>178</v>
      </c>
      <c r="K10" s="27" t="s">
        <v>178</v>
      </c>
      <c r="L10" s="28" t="s">
        <v>204</v>
      </c>
      <c r="M10" s="29" t="s">
        <v>205</v>
      </c>
      <c r="N10" s="30" t="s">
        <v>206</v>
      </c>
      <c r="O10" s="31" t="s">
        <v>196</v>
      </c>
      <c r="P10" s="31" t="s">
        <v>197</v>
      </c>
      <c r="Q10" s="32" t="s">
        <v>49</v>
      </c>
      <c r="R10" s="16"/>
      <c r="S10" s="16"/>
      <c r="T10" s="16"/>
      <c r="U10" s="16"/>
      <c r="V10" s="16"/>
      <c r="W10" s="16"/>
    </row>
    <row r="11" spans="1:23" ht="15" x14ac:dyDescent="0.2">
      <c r="A11" s="16"/>
      <c r="B11" s="16" t="s">
        <v>136</v>
      </c>
      <c r="C11" s="33">
        <v>9044.6344499999996</v>
      </c>
      <c r="D11" s="34">
        <v>135270.35535000003</v>
      </c>
      <c r="E11" s="35">
        <v>7565.9228999999996</v>
      </c>
      <c r="F11" s="35">
        <v>11040.441449999998</v>
      </c>
      <c r="G11" s="35">
        <v>11367.028049999999</v>
      </c>
      <c r="H11" s="35">
        <v>13816.42755</v>
      </c>
      <c r="I11" s="35">
        <v>14977.62435</v>
      </c>
      <c r="J11" s="35">
        <v>6005.5646999999999</v>
      </c>
      <c r="K11" s="35">
        <v>14025.080099999999</v>
      </c>
      <c r="L11" s="36">
        <v>8935.77225</v>
      </c>
      <c r="M11" s="37">
        <v>21318.847499999996</v>
      </c>
      <c r="N11" s="38">
        <v>11457.74655</v>
      </c>
      <c r="O11" s="39">
        <v>694958.14110000012</v>
      </c>
      <c r="P11" s="39">
        <v>90056.254950000002</v>
      </c>
      <c r="Q11" s="40">
        <f>SUM(C11:P11)</f>
        <v>1049839.8412500001</v>
      </c>
      <c r="R11" s="19" t="s">
        <v>145</v>
      </c>
      <c r="S11" s="16"/>
      <c r="T11" s="16"/>
      <c r="U11" s="19" t="s">
        <v>134</v>
      </c>
      <c r="V11" s="16"/>
      <c r="W11" s="16"/>
    </row>
    <row r="12" spans="1:23" ht="38.25" x14ac:dyDescent="0.2">
      <c r="A12" s="16"/>
      <c r="B12" s="41" t="s">
        <v>207</v>
      </c>
      <c r="C12" s="42" t="s">
        <v>208</v>
      </c>
      <c r="D12" s="43" t="s">
        <v>209</v>
      </c>
      <c r="E12" s="44" t="s">
        <v>210</v>
      </c>
      <c r="F12" s="44" t="s">
        <v>211</v>
      </c>
      <c r="G12" s="44" t="s">
        <v>212</v>
      </c>
      <c r="H12" s="44" t="s">
        <v>213</v>
      </c>
      <c r="I12" s="44" t="s">
        <v>214</v>
      </c>
      <c r="J12" s="44" t="s">
        <v>215</v>
      </c>
      <c r="K12" s="44" t="s">
        <v>216</v>
      </c>
      <c r="L12" s="45" t="s">
        <v>217</v>
      </c>
      <c r="M12" s="46" t="s">
        <v>218</v>
      </c>
      <c r="N12" s="47" t="s">
        <v>219</v>
      </c>
      <c r="O12" s="48" t="s">
        <v>140</v>
      </c>
      <c r="P12" s="48" t="s">
        <v>141</v>
      </c>
      <c r="Q12" s="16"/>
      <c r="R12" s="49" t="s">
        <v>46</v>
      </c>
      <c r="S12" s="50" t="s">
        <v>143</v>
      </c>
      <c r="T12" s="51"/>
      <c r="U12" s="49" t="s">
        <v>46</v>
      </c>
      <c r="V12" s="50" t="s">
        <v>135</v>
      </c>
      <c r="W12" s="51"/>
    </row>
    <row r="13" spans="1:23" x14ac:dyDescent="0.2">
      <c r="A13" s="16"/>
      <c r="B13" s="16" t="s">
        <v>23</v>
      </c>
      <c r="C13" s="52">
        <f>C16*$D$33</f>
        <v>8.7799090909090918</v>
      </c>
      <c r="D13" s="53">
        <f>$D$16*$D$33</f>
        <v>18.68281363636364</v>
      </c>
      <c r="E13" s="54">
        <f>E$16*$D$33</f>
        <v>0.63441818181818188</v>
      </c>
      <c r="F13" s="54">
        <f t="shared" ref="F13:K13" si="0">F$16*$D$33</f>
        <v>1.4529272727272728</v>
      </c>
      <c r="G13" s="54">
        <f t="shared" si="0"/>
        <v>2.3848363636363641</v>
      </c>
      <c r="H13" s="54">
        <f t="shared" si="0"/>
        <v>0.69005454545454548</v>
      </c>
      <c r="I13" s="54">
        <f t="shared" si="0"/>
        <v>0.84927272727272751</v>
      </c>
      <c r="J13" s="54">
        <f t="shared" si="0"/>
        <v>0.98443636363636378</v>
      </c>
      <c r="K13" s="54">
        <f t="shared" si="0"/>
        <v>0.27024545454545457</v>
      </c>
      <c r="L13" s="55">
        <f>$L$16*$D$33</f>
        <v>8.728363636363639</v>
      </c>
      <c r="M13" s="56">
        <f>$M$16*$D$33</f>
        <v>43.303909090909094</v>
      </c>
      <c r="N13" s="57">
        <f>$N$16*$D$33</f>
        <v>0.45777272727272733</v>
      </c>
      <c r="O13" s="105">
        <f>O16*$D33</f>
        <v>14.693336341306761</v>
      </c>
      <c r="P13" s="58">
        <f>$P$16*$D33</f>
        <v>1.1151818181818185</v>
      </c>
      <c r="Q13" s="16"/>
      <c r="R13" s="59" t="s">
        <v>23</v>
      </c>
      <c r="S13" s="60">
        <f>($C$11*$C13+$D$11*$D13+$E$11*$E13+$F$11*$F13+$G$11*$G13+$H$11*$H13+$I$11*$I13+$J$11*$J13+$K$11*$K13+$L$11*$L13+$M$11*$M13+$N$11*$N13+$O$11*$O13+$P$11*$P13)/$Q$11</f>
        <v>13.339805958745147</v>
      </c>
      <c r="T13" s="16"/>
      <c r="U13" s="59" t="s">
        <v>23</v>
      </c>
      <c r="V13" s="60">
        <f>($S13*$Q$11*1000)/1000000000000</f>
        <v>1.4004659770034811E-2</v>
      </c>
      <c r="W13" s="16"/>
    </row>
    <row r="14" spans="1:23" x14ac:dyDescent="0.2">
      <c r="A14" s="16"/>
      <c r="B14" s="16" t="s">
        <v>31</v>
      </c>
      <c r="C14" s="52">
        <f>$C$13*$D$36</f>
        <v>8.7799090909090918</v>
      </c>
      <c r="D14" s="53">
        <f>$D$13*$D$36</f>
        <v>18.68281363636364</v>
      </c>
      <c r="E14" s="54">
        <f>E$13*$D$36</f>
        <v>0.63441818181818188</v>
      </c>
      <c r="F14" s="54">
        <f t="shared" ref="F14:J14" si="1">F$13*$D$36</f>
        <v>1.4529272727272728</v>
      </c>
      <c r="G14" s="54">
        <f t="shared" si="1"/>
        <v>2.3848363636363641</v>
      </c>
      <c r="H14" s="54">
        <f t="shared" si="1"/>
        <v>0.69005454545454548</v>
      </c>
      <c r="I14" s="54">
        <f t="shared" si="1"/>
        <v>0.84927272727272751</v>
      </c>
      <c r="J14" s="54">
        <f t="shared" si="1"/>
        <v>0.98443636363636378</v>
      </c>
      <c r="K14" s="54">
        <f>K$13*$D$36</f>
        <v>0.27024545454545457</v>
      </c>
      <c r="L14" s="55">
        <f>$L$13*$D$36</f>
        <v>8.728363636363639</v>
      </c>
      <c r="M14" s="56">
        <f>$M$13*$D$36</f>
        <v>43.303909090909094</v>
      </c>
      <c r="N14" s="57">
        <f>$N$13*$D$36</f>
        <v>0.45777272727272733</v>
      </c>
      <c r="O14" s="105">
        <f>$O$13*$D$36</f>
        <v>14.693336341306761</v>
      </c>
      <c r="P14" s="58">
        <f>$P$13*$D$36</f>
        <v>1.1151818181818185</v>
      </c>
      <c r="Q14" s="16"/>
      <c r="R14" s="59" t="s">
        <v>31</v>
      </c>
      <c r="S14" s="60">
        <f t="shared" ref="S14:S19" si="2">($C$11*$C14+$D$11*$D14+$E$11*$E14+$F$11*$F14+$G$11*$G14+$H$11*$H14+$I$11*$I14+$J$11*$J14+$K$11*$K14+$L$11*$L14+$M$11*$M14+$N$11*$N14+$O$11*$O14+$P$11*$P14)/$Q$11</f>
        <v>13.339805958745147</v>
      </c>
      <c r="T14" s="16"/>
      <c r="U14" s="59" t="s">
        <v>31</v>
      </c>
      <c r="V14" s="60">
        <f t="shared" ref="V14:V19" si="3">($S14*$Q$11*1000)/1000000000000</f>
        <v>1.4004659770034811E-2</v>
      </c>
      <c r="W14" s="16"/>
    </row>
    <row r="15" spans="1:23" x14ac:dyDescent="0.2">
      <c r="A15" s="16"/>
      <c r="B15" s="16" t="s">
        <v>25</v>
      </c>
      <c r="C15" s="52">
        <f>$D$34*C16</f>
        <v>111.28444444444445</v>
      </c>
      <c r="D15" s="53">
        <f>$D$34*D16</f>
        <v>236.80274074074075</v>
      </c>
      <c r="E15" s="54">
        <f>$D$34*E16</f>
        <v>8.041185185185185</v>
      </c>
      <c r="F15" s="54">
        <f t="shared" ref="F15:K15" si="4">$D$34*F16</f>
        <v>18.415703703703702</v>
      </c>
      <c r="G15" s="54">
        <f t="shared" si="4"/>
        <v>30.227555555555554</v>
      </c>
      <c r="H15" s="54">
        <f t="shared" si="4"/>
        <v>8.7463703703703697</v>
      </c>
      <c r="I15" s="54">
        <f t="shared" si="4"/>
        <v>10.764444444444445</v>
      </c>
      <c r="J15" s="54">
        <f t="shared" si="4"/>
        <v>12.477629629629629</v>
      </c>
      <c r="K15" s="54">
        <f t="shared" si="4"/>
        <v>3.4253333333333331</v>
      </c>
      <c r="L15" s="55">
        <f>$D$34*L16</f>
        <v>110.63111111111111</v>
      </c>
      <c r="M15" s="56">
        <f>$D34*M16</f>
        <v>548.87259259259258</v>
      </c>
      <c r="N15" s="57">
        <f>$D$34*N16</f>
        <v>5.8022222222222215</v>
      </c>
      <c r="O15" s="105">
        <f>$O$16*$D34</f>
        <v>186.23652646594576</v>
      </c>
      <c r="P15" s="58">
        <f>$P$16*$D34</f>
        <v>14.134814814814815</v>
      </c>
      <c r="Q15" s="16"/>
      <c r="R15" s="59" t="s">
        <v>25</v>
      </c>
      <c r="S15" s="60">
        <f t="shared" si="2"/>
        <v>169.08066811907429</v>
      </c>
      <c r="T15" s="16"/>
      <c r="U15" s="59" t="s">
        <v>25</v>
      </c>
      <c r="V15" s="60">
        <f t="shared" si="3"/>
        <v>0.17750762177657287</v>
      </c>
      <c r="W15" s="16"/>
    </row>
    <row r="16" spans="1:23" x14ac:dyDescent="0.2">
      <c r="A16" s="16"/>
      <c r="B16" s="16" t="s">
        <v>26</v>
      </c>
      <c r="C16" s="52">
        <v>107.31</v>
      </c>
      <c r="D16" s="53">
        <v>228.34550000000002</v>
      </c>
      <c r="E16" s="54">
        <v>7.7539999999999996</v>
      </c>
      <c r="F16" s="61">
        <v>17.757999999999999</v>
      </c>
      <c r="G16" s="61">
        <v>29.148</v>
      </c>
      <c r="H16" s="61">
        <v>8.4339999999999993</v>
      </c>
      <c r="I16" s="61">
        <v>10.38</v>
      </c>
      <c r="J16" s="61">
        <v>12.032</v>
      </c>
      <c r="K16" s="61">
        <v>3.3029999999999999</v>
      </c>
      <c r="L16" s="55">
        <v>106.68</v>
      </c>
      <c r="M16" s="56">
        <v>529.27</v>
      </c>
      <c r="N16" s="57">
        <v>5.5949999999999998</v>
      </c>
      <c r="O16" s="106">
        <v>179.58522194930484</v>
      </c>
      <c r="P16" s="58">
        <v>13.63</v>
      </c>
      <c r="Q16" s="16"/>
      <c r="R16" s="59" t="s">
        <v>26</v>
      </c>
      <c r="S16" s="60">
        <f t="shared" si="2"/>
        <v>163.04207282910733</v>
      </c>
      <c r="T16" s="16"/>
      <c r="U16" s="59" t="s">
        <v>26</v>
      </c>
      <c r="V16" s="60">
        <f>($S16*$Q$11*1000)/1000000000000</f>
        <v>0.17116806385598099</v>
      </c>
      <c r="W16" s="16"/>
    </row>
    <row r="17" spans="1:23" x14ac:dyDescent="0.2">
      <c r="A17" s="16"/>
      <c r="B17" s="16" t="s">
        <v>179</v>
      </c>
      <c r="C17" s="52">
        <f>$C$16*$G$25</f>
        <v>9.5597984379693592</v>
      </c>
      <c r="D17" s="53">
        <f>$D$16*$G$25</f>
        <v>20.342344182437166</v>
      </c>
      <c r="E17" s="54">
        <f>E$16*$G$25</f>
        <v>0.69077138279763683</v>
      </c>
      <c r="F17" s="54">
        <f t="shared" ref="F17:K17" si="5">F$16*$G$25</f>
        <v>1.581985841594072</v>
      </c>
      <c r="G17" s="54">
        <f t="shared" si="5"/>
        <v>2.5966732352057673</v>
      </c>
      <c r="H17" s="54">
        <f t="shared" si="5"/>
        <v>0.75134973465505139</v>
      </c>
      <c r="I17" s="54">
        <f t="shared" si="5"/>
        <v>0.92471072394112341</v>
      </c>
      <c r="J17" s="54">
        <f t="shared" si="5"/>
        <v>1.0718804846300189</v>
      </c>
      <c r="K17" s="54">
        <f t="shared" si="5"/>
        <v>0.29425043556623603</v>
      </c>
      <c r="L17" s="55">
        <f>$L$16*$G$25</f>
        <v>9.5036743766896965</v>
      </c>
      <c r="M17" s="56">
        <f>$M$16*$G$25</f>
        <v>47.150447481726239</v>
      </c>
      <c r="N17" s="57">
        <f>$N$16*$G$25</f>
        <v>0.49843511565034537</v>
      </c>
      <c r="O17" s="105">
        <f>$O$16*$G$25</f>
        <v>15.998495240642484</v>
      </c>
      <c r="P17" s="58">
        <f>$P$16*$G$25</f>
        <v>1.2142396114949434</v>
      </c>
      <c r="Q17" s="16"/>
      <c r="R17" s="59" t="s">
        <v>29</v>
      </c>
      <c r="S17" s="60">
        <f t="shared" si="2"/>
        <v>14.524735375593952</v>
      </c>
      <c r="T17" s="16"/>
      <c r="U17" s="59" t="s">
        <v>29</v>
      </c>
      <c r="V17" s="60">
        <f t="shared" si="3"/>
        <v>1.5248645880911814E-2</v>
      </c>
      <c r="W17" s="16"/>
    </row>
    <row r="18" spans="1:23" x14ac:dyDescent="0.2">
      <c r="A18" s="16"/>
      <c r="B18" s="16" t="s">
        <v>28</v>
      </c>
      <c r="C18" s="52">
        <f>$C$19*$D$35</f>
        <v>93.550645161290319</v>
      </c>
      <c r="D18" s="53">
        <v>302.95499999999998</v>
      </c>
      <c r="E18" s="54">
        <f>E$19*$D$35</f>
        <v>2.0766774193548385</v>
      </c>
      <c r="F18" s="54">
        <f t="shared" ref="F18:K18" si="6">F$19*$D$35</f>
        <v>4.9527373271889399</v>
      </c>
      <c r="G18" s="54">
        <f t="shared" si="6"/>
        <v>6.3912442396313365</v>
      </c>
      <c r="H18" s="54">
        <f t="shared" si="6"/>
        <v>1.7332672811059906</v>
      </c>
      <c r="I18" s="54">
        <f t="shared" si="6"/>
        <v>2.9228018433179725</v>
      </c>
      <c r="J18" s="54">
        <f t="shared" si="6"/>
        <v>3.3272626728110599</v>
      </c>
      <c r="K18" s="54">
        <f t="shared" si="6"/>
        <v>1.7628387096774194</v>
      </c>
      <c r="L18" s="55">
        <f>$L$19*$D$35</f>
        <v>32.567682027649766</v>
      </c>
      <c r="M18" s="56">
        <f>$M$19*$D$35</f>
        <v>255.85963133640556</v>
      </c>
      <c r="N18" s="57">
        <f>$N$19*$D$35</f>
        <v>1.5100506912442395</v>
      </c>
      <c r="O18" s="105">
        <f>$O$19*$D35</f>
        <v>65.311710759040096</v>
      </c>
      <c r="P18" s="58">
        <f>$P$19*$D35</f>
        <v>3.3959447004608294</v>
      </c>
      <c r="Q18" s="16"/>
      <c r="R18" s="59" t="s">
        <v>28</v>
      </c>
      <c r="S18" s="60">
        <f t="shared" si="2"/>
        <v>89.099416011314162</v>
      </c>
      <c r="T18" s="16"/>
      <c r="U18" s="59" t="s">
        <v>28</v>
      </c>
      <c r="V18" s="60">
        <f t="shared" si="3"/>
        <v>9.354011676078576E-2</v>
      </c>
      <c r="W18" s="16"/>
    </row>
    <row r="19" spans="1:23" x14ac:dyDescent="0.2">
      <c r="A19" s="16"/>
      <c r="B19" s="16" t="s">
        <v>27</v>
      </c>
      <c r="C19" s="52">
        <v>98.07</v>
      </c>
      <c r="D19" s="53">
        <v>64.870249999999999</v>
      </c>
      <c r="E19" s="54">
        <v>2.177</v>
      </c>
      <c r="F19" s="61">
        <v>5.1920000000000002</v>
      </c>
      <c r="G19" s="61">
        <v>6.7</v>
      </c>
      <c r="H19" s="61">
        <v>1.8169999999999999</v>
      </c>
      <c r="I19" s="61">
        <v>3.0640000000000001</v>
      </c>
      <c r="J19" s="61">
        <v>3.488</v>
      </c>
      <c r="K19" s="61">
        <v>1.8480000000000001</v>
      </c>
      <c r="L19" s="55">
        <v>34.140999999999998</v>
      </c>
      <c r="M19" s="56">
        <v>268.22000000000003</v>
      </c>
      <c r="N19" s="57">
        <v>1.583</v>
      </c>
      <c r="O19" s="106">
        <v>68.466865868172476</v>
      </c>
      <c r="P19" s="58">
        <v>3.56</v>
      </c>
      <c r="Q19" s="16"/>
      <c r="R19" s="59" t="s">
        <v>27</v>
      </c>
      <c r="S19" s="60">
        <f t="shared" si="2"/>
        <v>60.841093535944886</v>
      </c>
      <c r="T19" s="16"/>
      <c r="U19" s="59" t="s">
        <v>27</v>
      </c>
      <c r="V19" s="60">
        <f t="shared" si="3"/>
        <v>6.3873403979252785E-2</v>
      </c>
      <c r="W19" s="16"/>
    </row>
    <row r="20" spans="1:23" x14ac:dyDescent="0.2">
      <c r="A20" s="16"/>
      <c r="B20" s="16" t="s">
        <v>180</v>
      </c>
      <c r="C20" s="52">
        <f>$C$19*$G$26</f>
        <v>75.865206030150745</v>
      </c>
      <c r="D20" s="53">
        <f>$D$19*$G$26</f>
        <v>50.182470495333803</v>
      </c>
      <c r="E20" s="54">
        <f>E$19*$G$26</f>
        <v>1.6840884422110551</v>
      </c>
      <c r="F20" s="54">
        <f t="shared" ref="F20:K20" si="7">F$19*$G$26</f>
        <v>4.0164387652548452</v>
      </c>
      <c r="G20" s="54">
        <f t="shared" si="7"/>
        <v>5.183000717875089</v>
      </c>
      <c r="H20" s="54">
        <f>H$19*$G$26</f>
        <v>1.4055988513998563</v>
      </c>
      <c r="I20" s="54">
        <f t="shared" si="7"/>
        <v>2.3702558506819811</v>
      </c>
      <c r="J20" s="54">
        <f t="shared" si="7"/>
        <v>2.6982547020818375</v>
      </c>
      <c r="K20" s="54">
        <f t="shared" si="7"/>
        <v>1.4295798994974873</v>
      </c>
      <c r="L20" s="55">
        <f>$L$19*$G$26</f>
        <v>26.410869777458718</v>
      </c>
      <c r="M20" s="56">
        <f>$M$19*$G$26</f>
        <v>207.49021679827709</v>
      </c>
      <c r="N20" s="57">
        <f>$N$19*$G$26</f>
        <v>1.2245806173725771</v>
      </c>
      <c r="O20" s="105">
        <f>$O$19*$G$26</f>
        <v>52.964748499312748</v>
      </c>
      <c r="P20" s="58">
        <f>$P$19*$G$26</f>
        <v>2.7539526202440774</v>
      </c>
      <c r="Q20" s="16"/>
      <c r="R20" s="59" t="s">
        <v>32</v>
      </c>
      <c r="S20" s="60">
        <f>($C$11*$C20+$D$11*$D20+$E$11*$E20+$F$11*$F20+$G$11*$G20+$H$11*$H20+$I$11*$I20+$J$11*$J20+$K$11*$K20+$L$11*$L20+$M$11*$M20+$N$11*$N20+$O$11*$O20+$P$11*$P20)/$Q$11</f>
        <v>47.065586787031009</v>
      </c>
      <c r="T20" s="16"/>
      <c r="U20" s="59" t="s">
        <v>32</v>
      </c>
      <c r="V20" s="60">
        <f>($S20*$Q$11*1000)/1000000000000</f>
        <v>4.9411328160834739E-2</v>
      </c>
      <c r="W20" s="16"/>
    </row>
    <row r="21" spans="1:23" x14ac:dyDescent="0.2">
      <c r="A21" s="16"/>
      <c r="B21" s="62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x14ac:dyDescent="0.2">
      <c r="A22" s="16"/>
      <c r="B22" s="63" t="s">
        <v>220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x14ac:dyDescent="0.2">
      <c r="A23" s="16"/>
      <c r="B23" s="100" t="s">
        <v>239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x14ac:dyDescent="0.2">
      <c r="A24" s="16"/>
      <c r="B24" s="64" t="s">
        <v>221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x14ac:dyDescent="0.2">
      <c r="A25" s="16"/>
      <c r="B25" s="16" t="s">
        <v>181</v>
      </c>
      <c r="C25" s="16"/>
      <c r="D25" s="16"/>
      <c r="E25" s="16"/>
      <c r="F25" s="16"/>
      <c r="G25" s="16">
        <f>0.08897/0.9987</f>
        <v>8.9085811555021516E-2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x14ac:dyDescent="0.2">
      <c r="A26" s="16"/>
      <c r="B26" s="16" t="s">
        <v>182</v>
      </c>
      <c r="C26" s="16"/>
      <c r="D26" s="16"/>
      <c r="E26" s="16"/>
      <c r="F26" s="16"/>
      <c r="G26" s="16">
        <f>0.5388/0.6965</f>
        <v>0.7735821966977745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x14ac:dyDescent="0.2">
      <c r="A27" s="16"/>
      <c r="B27" s="101" t="s">
        <v>242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x14ac:dyDescent="0.2">
      <c r="A28" s="16"/>
      <c r="B28" s="65" t="s">
        <v>222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x14ac:dyDescent="0.2">
      <c r="A29" s="16"/>
      <c r="B29" s="66" t="s">
        <v>223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x14ac:dyDescent="0.2">
      <c r="A30" s="16"/>
      <c r="B30" s="102" t="s">
        <v>224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3.5" thickBo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x14ac:dyDescent="0.2">
      <c r="A32" s="16"/>
      <c r="B32" s="67"/>
      <c r="C32" s="68" t="s">
        <v>225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70"/>
      <c r="P32" s="16"/>
      <c r="Q32" s="16"/>
      <c r="R32" s="16"/>
      <c r="S32" s="16"/>
      <c r="T32" s="16"/>
      <c r="U32" s="16"/>
      <c r="V32" s="16"/>
      <c r="W32" s="16"/>
    </row>
    <row r="33" spans="1:23" ht="13.5" thickBot="1" x14ac:dyDescent="0.25">
      <c r="A33" s="16"/>
      <c r="B33" s="67"/>
      <c r="C33" s="71" t="s">
        <v>137</v>
      </c>
      <c r="D33" s="72">
        <f>$N$35/$J$35</f>
        <v>8.1818181818181832E-2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73"/>
      <c r="P33" s="16"/>
      <c r="Q33" s="16"/>
      <c r="R33" s="16"/>
      <c r="S33" s="16"/>
      <c r="T33" s="16"/>
      <c r="U33" s="16"/>
      <c r="V33" s="16"/>
      <c r="W33" s="16"/>
    </row>
    <row r="34" spans="1:23" x14ac:dyDescent="0.2">
      <c r="A34" s="16"/>
      <c r="B34" s="67"/>
      <c r="C34" s="74" t="s">
        <v>138</v>
      </c>
      <c r="D34" s="75">
        <f>$M$35/$J$35</f>
        <v>1.037037037037037</v>
      </c>
      <c r="E34" s="76"/>
      <c r="F34" s="67"/>
      <c r="G34" s="77" t="s">
        <v>226</v>
      </c>
      <c r="H34" s="78" t="s">
        <v>227</v>
      </c>
      <c r="I34" s="79" t="s">
        <v>228</v>
      </c>
      <c r="J34" s="79" t="s">
        <v>26</v>
      </c>
      <c r="K34" s="79" t="s">
        <v>27</v>
      </c>
      <c r="L34" s="79" t="s">
        <v>28</v>
      </c>
      <c r="M34" s="79" t="s">
        <v>25</v>
      </c>
      <c r="N34" s="80" t="s">
        <v>23</v>
      </c>
      <c r="O34" s="73"/>
      <c r="P34" s="16"/>
      <c r="Q34" s="16"/>
      <c r="R34" s="16"/>
      <c r="S34" s="16"/>
      <c r="T34" s="16"/>
      <c r="U34" s="16"/>
      <c r="V34" s="16"/>
      <c r="W34" s="16"/>
    </row>
    <row r="35" spans="1:23" ht="13.5" thickBot="1" x14ac:dyDescent="0.25">
      <c r="A35" s="16"/>
      <c r="B35" s="67"/>
      <c r="C35" s="71" t="s">
        <v>139</v>
      </c>
      <c r="D35" s="72">
        <f>$L$35/$K$35</f>
        <v>0.95391705069124422</v>
      </c>
      <c r="E35" s="67"/>
      <c r="F35" s="67"/>
      <c r="G35" s="81" t="s">
        <v>229</v>
      </c>
      <c r="H35" s="82" t="s">
        <v>24</v>
      </c>
      <c r="I35" s="83">
        <v>5.86</v>
      </c>
      <c r="J35" s="83">
        <v>29.7</v>
      </c>
      <c r="K35" s="83">
        <v>21.7</v>
      </c>
      <c r="L35" s="83">
        <v>20.7</v>
      </c>
      <c r="M35" s="83">
        <v>30.8</v>
      </c>
      <c r="N35" s="84">
        <v>2.4300000000000002</v>
      </c>
      <c r="O35" s="73"/>
      <c r="P35" s="16"/>
      <c r="Q35" s="16"/>
      <c r="R35" s="16"/>
      <c r="S35" s="16"/>
      <c r="T35" s="16"/>
      <c r="U35" s="16"/>
      <c r="V35" s="16"/>
      <c r="W35" s="16"/>
    </row>
    <row r="36" spans="1:23" ht="13.5" thickBot="1" x14ac:dyDescent="0.25">
      <c r="A36" s="16"/>
      <c r="B36" s="67"/>
      <c r="C36" s="85" t="s">
        <v>175</v>
      </c>
      <c r="D36" s="86">
        <v>1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8"/>
      <c r="P36" s="16"/>
      <c r="Q36" s="16"/>
      <c r="R36" s="16"/>
      <c r="S36" s="16"/>
      <c r="T36" s="16"/>
      <c r="U36" s="16"/>
      <c r="V36" s="16"/>
      <c r="W36" s="16"/>
    </row>
    <row r="37" spans="1:23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3.5" thickBo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x14ac:dyDescent="0.2">
      <c r="A39" s="16"/>
      <c r="B39" s="16"/>
      <c r="C39" s="89" t="s">
        <v>184</v>
      </c>
      <c r="D39" s="69"/>
      <c r="E39" s="69"/>
      <c r="F39" s="69"/>
      <c r="G39" s="69"/>
      <c r="H39" s="69"/>
      <c r="I39" s="7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x14ac:dyDescent="0.2">
      <c r="A40" s="16"/>
      <c r="B40" s="16"/>
      <c r="C40" s="71"/>
      <c r="D40" s="67"/>
      <c r="E40" s="67"/>
      <c r="F40" s="67"/>
      <c r="G40" s="67"/>
      <c r="H40" s="67"/>
      <c r="I40" s="73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x14ac:dyDescent="0.2">
      <c r="A41" s="16"/>
      <c r="B41" s="16"/>
      <c r="C41" s="71"/>
      <c r="D41" s="67" t="str">
        <f>C10</f>
        <v>Cambrian (a)</v>
      </c>
      <c r="E41" s="67" t="str">
        <f>D10</f>
        <v>Greenhunter (e)</v>
      </c>
      <c r="F41" s="67" t="str">
        <f>E10</f>
        <v>Nuverra (b)</v>
      </c>
      <c r="G41" s="67" t="str">
        <f>O10</f>
        <v>Fairmont (f)</v>
      </c>
      <c r="H41" s="67" t="str">
        <f>P10</f>
        <v>Fairmont (g)</v>
      </c>
      <c r="I41" s="73" t="str">
        <f>Q10</f>
        <v>Total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x14ac:dyDescent="0.2">
      <c r="A42" s="16"/>
      <c r="B42" s="16"/>
      <c r="C42" s="71"/>
      <c r="D42" s="90">
        <f>C11/$Q$11</f>
        <v>8.6152516742276936E-3</v>
      </c>
      <c r="E42" s="90">
        <f>D11/$Q$11</f>
        <v>0.12884856340462306</v>
      </c>
      <c r="F42" s="90">
        <f>E11/$Q$11</f>
        <v>7.2067401166558643E-3</v>
      </c>
      <c r="G42" s="90">
        <f>O11/$Q$11</f>
        <v>0.66196586735796081</v>
      </c>
      <c r="H42" s="90">
        <f>P11/$Q$11</f>
        <v>8.5780946208684372E-2</v>
      </c>
      <c r="I42" s="91">
        <f>Q11/$Q$11</f>
        <v>1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x14ac:dyDescent="0.2">
      <c r="A43" s="16"/>
      <c r="B43" s="16"/>
      <c r="C43" s="71"/>
      <c r="D43" s="67"/>
      <c r="E43" s="67"/>
      <c r="F43" s="67"/>
      <c r="G43" s="67"/>
      <c r="H43" s="67"/>
      <c r="I43" s="73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ht="13.5" thickBot="1" x14ac:dyDescent="0.25">
      <c r="A44" s="16"/>
      <c r="B44" s="16"/>
      <c r="C44" s="85"/>
      <c r="D44" s="87"/>
      <c r="E44" s="87"/>
      <c r="F44" s="87"/>
      <c r="G44" s="92" t="s">
        <v>230</v>
      </c>
      <c r="H44" s="93">
        <f>G42+H42</f>
        <v>0.74774681356664519</v>
      </c>
      <c r="I44" s="88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x14ac:dyDescent="0.2">
      <c r="A49" s="16"/>
      <c r="B49" s="96" t="s">
        <v>240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x14ac:dyDescent="0.2">
      <c r="A52" s="16"/>
      <c r="B52" s="96" t="s">
        <v>232</v>
      </c>
      <c r="C52" s="96" t="s">
        <v>133</v>
      </c>
      <c r="D52" s="96" t="s">
        <v>233</v>
      </c>
      <c r="E52" s="16" t="s">
        <v>23</v>
      </c>
      <c r="F52" s="16" t="s">
        <v>31</v>
      </c>
      <c r="G52" s="16" t="s">
        <v>25</v>
      </c>
      <c r="H52" s="16" t="s">
        <v>26</v>
      </c>
      <c r="I52" s="16" t="s">
        <v>179</v>
      </c>
      <c r="J52" s="16" t="s">
        <v>28</v>
      </c>
      <c r="K52" s="16" t="s">
        <v>27</v>
      </c>
      <c r="L52" s="16" t="s">
        <v>180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x14ac:dyDescent="0.2">
      <c r="A53" s="16"/>
      <c r="B53" s="16" t="s">
        <v>177</v>
      </c>
      <c r="C53" s="95">
        <v>9044.6344499999996</v>
      </c>
      <c r="D53" s="99" t="s">
        <v>234</v>
      </c>
      <c r="E53" s="94">
        <v>8.7799090909090918</v>
      </c>
      <c r="F53" s="94">
        <v>8.7799090909090918</v>
      </c>
      <c r="G53" s="94">
        <v>111.28444444444445</v>
      </c>
      <c r="H53" s="94">
        <v>107.31</v>
      </c>
      <c r="I53" s="94">
        <v>9.5597984379693592</v>
      </c>
      <c r="J53" s="94">
        <v>93.550645161290319</v>
      </c>
      <c r="K53" s="94">
        <v>98.07</v>
      </c>
      <c r="L53" s="94">
        <v>75.865206030150745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x14ac:dyDescent="0.2">
      <c r="A54" s="16"/>
      <c r="B54" s="16" t="s">
        <v>203</v>
      </c>
      <c r="C54" s="95">
        <v>135270.35535000003</v>
      </c>
      <c r="D54" s="98" t="s">
        <v>235</v>
      </c>
      <c r="E54" s="94">
        <v>18.68281363636364</v>
      </c>
      <c r="F54" s="94">
        <v>18.68281363636364</v>
      </c>
      <c r="G54" s="94">
        <v>236.80274074074075</v>
      </c>
      <c r="H54" s="94">
        <v>228.34550000000002</v>
      </c>
      <c r="I54" s="94">
        <v>20.342344182437166</v>
      </c>
      <c r="J54" s="94">
        <v>302.95499999999998</v>
      </c>
      <c r="K54" s="94">
        <v>64.870249999999999</v>
      </c>
      <c r="L54" s="94">
        <v>50.182470495333803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x14ac:dyDescent="0.2">
      <c r="A55" s="16"/>
      <c r="B55" s="16" t="s">
        <v>178</v>
      </c>
      <c r="C55" s="95">
        <v>7565.9228999999996</v>
      </c>
      <c r="D55" s="97">
        <v>80</v>
      </c>
      <c r="E55" s="94">
        <v>0.63441818181818188</v>
      </c>
      <c r="F55" s="94">
        <v>0.63441818181818188</v>
      </c>
      <c r="G55" s="94">
        <v>8.041185185185185</v>
      </c>
      <c r="H55" s="94">
        <v>7.7539999999999996</v>
      </c>
      <c r="I55" s="94">
        <v>0.69077138279763683</v>
      </c>
      <c r="J55" s="94">
        <v>2.0766774193548385</v>
      </c>
      <c r="K55" s="94">
        <v>2.177</v>
      </c>
      <c r="L55" s="94">
        <v>1.6840884422110551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x14ac:dyDescent="0.2">
      <c r="A56" s="16"/>
      <c r="B56" s="16" t="s">
        <v>178</v>
      </c>
      <c r="C56" s="95">
        <v>11040.441449999998</v>
      </c>
      <c r="D56" s="97">
        <v>81</v>
      </c>
      <c r="E56" s="94">
        <v>1.4529272727272728</v>
      </c>
      <c r="F56" s="94">
        <v>1.4529272727272728</v>
      </c>
      <c r="G56" s="94">
        <v>18.415703703703702</v>
      </c>
      <c r="H56" s="94">
        <v>17.757999999999999</v>
      </c>
      <c r="I56" s="94">
        <v>1.581985841594072</v>
      </c>
      <c r="J56" s="94">
        <v>4.9527373271889399</v>
      </c>
      <c r="K56" s="94">
        <v>5.1920000000000002</v>
      </c>
      <c r="L56" s="94">
        <v>4.0164387652548452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x14ac:dyDescent="0.2">
      <c r="A57" s="16"/>
      <c r="B57" s="16" t="s">
        <v>178</v>
      </c>
      <c r="C57" s="95">
        <v>11367.028049999999</v>
      </c>
      <c r="D57" s="97">
        <v>82</v>
      </c>
      <c r="E57" s="94">
        <v>2.3848363636363641</v>
      </c>
      <c r="F57" s="94">
        <v>2.3848363636363641</v>
      </c>
      <c r="G57" s="94">
        <v>30.227555555555554</v>
      </c>
      <c r="H57" s="94">
        <v>29.148</v>
      </c>
      <c r="I57" s="94">
        <v>2.5966732352057673</v>
      </c>
      <c r="J57" s="94">
        <v>6.3912442396313365</v>
      </c>
      <c r="K57" s="94">
        <v>6.7</v>
      </c>
      <c r="L57" s="94">
        <v>5.183000717875089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x14ac:dyDescent="0.2">
      <c r="A58" s="16"/>
      <c r="B58" s="16" t="s">
        <v>178</v>
      </c>
      <c r="C58" s="95">
        <v>13816.42755</v>
      </c>
      <c r="D58" s="97">
        <v>83</v>
      </c>
      <c r="E58" s="94">
        <v>0.69005454545454548</v>
      </c>
      <c r="F58" s="94">
        <v>0.69005454545454548</v>
      </c>
      <c r="G58" s="94">
        <v>8.7463703703703697</v>
      </c>
      <c r="H58" s="94">
        <v>8.4339999999999993</v>
      </c>
      <c r="I58" s="94">
        <v>0.75134973465505139</v>
      </c>
      <c r="J58" s="94">
        <v>1.7332672811059906</v>
      </c>
      <c r="K58" s="94">
        <v>1.8169999999999999</v>
      </c>
      <c r="L58" s="94">
        <v>1.4055988513998563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x14ac:dyDescent="0.2">
      <c r="A59" s="16"/>
      <c r="B59" s="16" t="s">
        <v>178</v>
      </c>
      <c r="C59" s="95">
        <v>14977.62435</v>
      </c>
      <c r="D59" s="97">
        <v>84</v>
      </c>
      <c r="E59" s="94">
        <v>0.84927272727272751</v>
      </c>
      <c r="F59" s="94">
        <v>0.84927272727272751</v>
      </c>
      <c r="G59" s="94">
        <v>10.764444444444445</v>
      </c>
      <c r="H59" s="94">
        <v>10.38</v>
      </c>
      <c r="I59" s="94">
        <v>0.92471072394112341</v>
      </c>
      <c r="J59" s="94">
        <v>2.9228018433179725</v>
      </c>
      <c r="K59" s="94">
        <v>3.0640000000000001</v>
      </c>
      <c r="L59" s="94">
        <v>2.3702558506819811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x14ac:dyDescent="0.2">
      <c r="A60" s="16"/>
      <c r="B60" s="16" t="s">
        <v>178</v>
      </c>
      <c r="C60" s="95">
        <v>6005.5646999999999</v>
      </c>
      <c r="D60" s="97">
        <v>85</v>
      </c>
      <c r="E60" s="94">
        <v>0.98443636363636378</v>
      </c>
      <c r="F60" s="94">
        <v>0.98443636363636378</v>
      </c>
      <c r="G60" s="94">
        <v>12.477629629629629</v>
      </c>
      <c r="H60" s="94">
        <v>12.032</v>
      </c>
      <c r="I60" s="94">
        <v>1.0718804846300189</v>
      </c>
      <c r="J60" s="94">
        <v>3.3272626728110599</v>
      </c>
      <c r="K60" s="94">
        <v>3.488</v>
      </c>
      <c r="L60" s="94">
        <v>2.6982547020818375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x14ac:dyDescent="0.2">
      <c r="A61" s="16"/>
      <c r="B61" s="16" t="s">
        <v>178</v>
      </c>
      <c r="C61" s="95">
        <v>14025.080099999999</v>
      </c>
      <c r="D61" s="97">
        <v>86</v>
      </c>
      <c r="E61" s="94">
        <v>0.27024545454545457</v>
      </c>
      <c r="F61" s="94">
        <v>0.27024545454545457</v>
      </c>
      <c r="G61" s="94">
        <v>3.4253333333333331</v>
      </c>
      <c r="H61" s="94">
        <v>3.3029999999999999</v>
      </c>
      <c r="I61" s="94">
        <v>0.29425043556623603</v>
      </c>
      <c r="J61" s="94">
        <v>1.7628387096774194</v>
      </c>
      <c r="K61" s="94">
        <v>1.8480000000000001</v>
      </c>
      <c r="L61" s="94">
        <v>1.4295798994974873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x14ac:dyDescent="0.2">
      <c r="A62" s="16"/>
      <c r="B62" s="16" t="s">
        <v>204</v>
      </c>
      <c r="C62" s="95">
        <v>8935.77225</v>
      </c>
      <c r="D62" s="97">
        <v>87</v>
      </c>
      <c r="E62" s="94">
        <v>8.728363636363639</v>
      </c>
      <c r="F62" s="94">
        <v>8.728363636363639</v>
      </c>
      <c r="G62" s="94">
        <v>110.63111111111111</v>
      </c>
      <c r="H62" s="94">
        <v>106.68</v>
      </c>
      <c r="I62" s="94">
        <v>9.5036743766896965</v>
      </c>
      <c r="J62" s="94">
        <v>32.567682027649766</v>
      </c>
      <c r="K62" s="94">
        <v>34.140999999999998</v>
      </c>
      <c r="L62" s="94">
        <v>26.410869777458718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x14ac:dyDescent="0.2">
      <c r="A63" s="16"/>
      <c r="B63" s="16" t="s">
        <v>205</v>
      </c>
      <c r="C63" s="95">
        <v>21318.847499999996</v>
      </c>
      <c r="D63" s="98" t="s">
        <v>236</v>
      </c>
      <c r="E63" s="94">
        <v>43.303909090909094</v>
      </c>
      <c r="F63" s="94">
        <v>43.303909090909094</v>
      </c>
      <c r="G63" s="94">
        <v>548.87259259259258</v>
      </c>
      <c r="H63" s="94">
        <v>529.27</v>
      </c>
      <c r="I63" s="94">
        <v>47.150447481726239</v>
      </c>
      <c r="J63" s="94">
        <v>255.85963133640556</v>
      </c>
      <c r="K63" s="94">
        <v>268.22000000000003</v>
      </c>
      <c r="L63" s="94">
        <v>207.49021679827709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x14ac:dyDescent="0.2">
      <c r="A64" s="16"/>
      <c r="B64" s="16" t="s">
        <v>206</v>
      </c>
      <c r="C64" s="95">
        <v>11457.74655</v>
      </c>
      <c r="D64" s="97">
        <v>92</v>
      </c>
      <c r="E64" s="94">
        <v>0.45777272727272733</v>
      </c>
      <c r="F64" s="94">
        <v>0.45777272727272733</v>
      </c>
      <c r="G64" s="94">
        <v>5.8022222222222215</v>
      </c>
      <c r="H64" s="94">
        <v>5.5949999999999998</v>
      </c>
      <c r="I64" s="94">
        <v>0.49843511565034537</v>
      </c>
      <c r="J64" s="94">
        <v>1.5100506912442395</v>
      </c>
      <c r="K64" s="94">
        <v>1.583</v>
      </c>
      <c r="L64" s="94">
        <v>1.2245806173725771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x14ac:dyDescent="0.2">
      <c r="A65" s="16"/>
      <c r="B65" s="16" t="s">
        <v>196</v>
      </c>
      <c r="C65" s="95">
        <v>694958.14110000012</v>
      </c>
      <c r="D65" s="98" t="s">
        <v>237</v>
      </c>
      <c r="E65" s="94">
        <v>14.072727272727276</v>
      </c>
      <c r="F65" s="94">
        <v>14.072727272727276</v>
      </c>
      <c r="G65" s="94">
        <v>178.37037037037035</v>
      </c>
      <c r="H65" s="94">
        <v>172</v>
      </c>
      <c r="I65" s="94">
        <v>15.3227595874637</v>
      </c>
      <c r="J65" s="94">
        <v>62.576958525345617</v>
      </c>
      <c r="K65" s="94">
        <v>65.599999999999994</v>
      </c>
      <c r="L65" s="94">
        <v>50.746992103374005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x14ac:dyDescent="0.2">
      <c r="A66" s="16"/>
      <c r="B66" s="16" t="s">
        <v>197</v>
      </c>
      <c r="C66" s="95">
        <v>90056.254950000002</v>
      </c>
      <c r="D66" s="98" t="s">
        <v>238</v>
      </c>
      <c r="E66" s="94">
        <v>1.1151818181818185</v>
      </c>
      <c r="F66" s="94">
        <v>1.1151818181818185</v>
      </c>
      <c r="G66" s="94">
        <v>14.134814814814815</v>
      </c>
      <c r="H66" s="94">
        <v>13.63</v>
      </c>
      <c r="I66" s="94">
        <v>1.2142396114949434</v>
      </c>
      <c r="J66" s="94">
        <v>3.3959447004608294</v>
      </c>
      <c r="K66" s="94">
        <v>3.56</v>
      </c>
      <c r="L66" s="94">
        <v>2.7539526202440774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x14ac:dyDescent="0.2">
      <c r="A67" s="16"/>
      <c r="B67" s="96" t="s">
        <v>241</v>
      </c>
      <c r="C67" s="95">
        <v>1049839.8412500001</v>
      </c>
      <c r="D67" s="16">
        <v>92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3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3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3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3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3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1:23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1:23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spans="1:23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1:23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spans="1:23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spans="1:23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spans="1:23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spans="1:23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spans="1:23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spans="1:23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spans="1:23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3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1:23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1:23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zoomScale="150" zoomScaleNormal="150" zoomScalePageLayoutView="150" workbookViewId="0">
      <selection activeCell="B10" sqref="B10"/>
    </sheetView>
  </sheetViews>
  <sheetFormatPr defaultColWidth="11.42578125" defaultRowHeight="12.75" x14ac:dyDescent="0.2"/>
  <sheetData>
    <row r="3" spans="1:2" x14ac:dyDescent="0.2">
      <c r="A3">
        <v>480</v>
      </c>
      <c r="B3" t="s">
        <v>54</v>
      </c>
    </row>
    <row r="5" spans="1:2" x14ac:dyDescent="0.2">
      <c r="A5">
        <f>A3/2.02</f>
        <v>237.62376237623764</v>
      </c>
      <c r="B5" t="s">
        <v>55</v>
      </c>
    </row>
    <row r="7" spans="1:2" x14ac:dyDescent="0.2">
      <c r="B7" t="s">
        <v>126</v>
      </c>
    </row>
    <row r="8" spans="1:2" x14ac:dyDescent="0.2">
      <c r="A8">
        <v>480</v>
      </c>
      <c r="B8" t="s">
        <v>129</v>
      </c>
    </row>
    <row r="9" spans="1:2" x14ac:dyDescent="0.2">
      <c r="A9">
        <v>183</v>
      </c>
      <c r="B9" t="s">
        <v>130</v>
      </c>
    </row>
    <row r="10" spans="1:2" x14ac:dyDescent="0.2">
      <c r="A10">
        <f>A8/A9</f>
        <v>2.622950819672131</v>
      </c>
      <c r="B10" t="s">
        <v>56</v>
      </c>
    </row>
    <row r="11" spans="1:2" x14ac:dyDescent="0.2">
      <c r="A11">
        <v>1340</v>
      </c>
      <c r="B11" t="s">
        <v>127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Inh&amp;Ing</vt:lpstr>
      <vt:lpstr>ExternalDoses</vt:lpstr>
      <vt:lpstr>OffsiteInhalation</vt:lpstr>
      <vt:lpstr>Radon</vt:lpstr>
      <vt:lpstr>RepresentitiveConcentrationRev2</vt:lpstr>
      <vt:lpstr>Scratch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