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3405" yWindow="420" windowWidth="32175" windowHeight="15990" tabRatio="500"/>
  </bookViews>
  <sheets>
    <sheet name="Parameters" sheetId="1" r:id="rId1"/>
    <sheet name="NCRP" sheetId="2" r:id="rId2"/>
    <sheet name="Calculated Kds" sheetId="3" r:id="rId3"/>
    <sheet name="Sheet4" sheetId="4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7" i="1" l="1"/>
  <c r="E56" i="1"/>
  <c r="E55" i="1"/>
  <c r="E54" i="1"/>
  <c r="E53" i="1"/>
  <c r="E52" i="1"/>
  <c r="E51" i="1"/>
  <c r="E50" i="1"/>
  <c r="B4" i="2"/>
  <c r="B5" i="2"/>
  <c r="B6" i="2"/>
  <c r="B7" i="2"/>
  <c r="B8" i="2"/>
  <c r="B9" i="2"/>
  <c r="B10" i="2"/>
  <c r="B11" i="2"/>
  <c r="E6" i="3"/>
  <c r="E5" i="3"/>
  <c r="E4" i="3"/>
  <c r="E3" i="3"/>
  <c r="E2" i="3"/>
  <c r="B33" i="1"/>
  <c r="B34" i="1"/>
  <c r="B40" i="1"/>
  <c r="B9" i="1"/>
  <c r="B18" i="1"/>
  <c r="B17" i="1"/>
  <c r="B20" i="1"/>
  <c r="B21" i="1"/>
  <c r="D11" i="2"/>
  <c r="D10" i="2"/>
  <c r="D9" i="2"/>
  <c r="D8" i="2"/>
  <c r="D7" i="2"/>
  <c r="D6" i="2"/>
  <c r="D5" i="2"/>
  <c r="D4" i="2"/>
  <c r="F4" i="2"/>
  <c r="B38" i="1"/>
  <c r="B37" i="1"/>
  <c r="F11" i="2"/>
  <c r="I11" i="2"/>
  <c r="H11" i="2"/>
  <c r="G11" i="2"/>
  <c r="F10" i="2"/>
  <c r="I10" i="2"/>
  <c r="H10" i="2"/>
  <c r="G10" i="2"/>
  <c r="F9" i="2"/>
  <c r="I9" i="2"/>
  <c r="H9" i="2"/>
  <c r="G9" i="2"/>
  <c r="F8" i="2"/>
  <c r="I8" i="2"/>
  <c r="H8" i="2"/>
  <c r="G8" i="2"/>
  <c r="F7" i="2"/>
  <c r="I7" i="2"/>
  <c r="H7" i="2"/>
  <c r="G7" i="2"/>
  <c r="F6" i="2"/>
  <c r="I6" i="2"/>
  <c r="H6" i="2"/>
  <c r="G6" i="2"/>
  <c r="F5" i="2"/>
  <c r="I5" i="2"/>
  <c r="H5" i="2"/>
  <c r="G5" i="2"/>
  <c r="I4" i="2"/>
  <c r="H4" i="2"/>
  <c r="G4" i="2"/>
  <c r="F66" i="1"/>
  <c r="F65" i="1"/>
  <c r="F64" i="1"/>
  <c r="F63" i="1"/>
  <c r="B27" i="1"/>
  <c r="B28" i="1"/>
  <c r="B30" i="1"/>
  <c r="B29" i="1"/>
  <c r="A5" i="1"/>
</calcChain>
</file>

<file path=xl/sharedStrings.xml><?xml version="1.0" encoding="utf-8"?>
<sst xmlns="http://schemas.openxmlformats.org/spreadsheetml/2006/main" count="154" uniqueCount="107">
  <si>
    <t>ft</t>
  </si>
  <si>
    <t>and the Groundwater and terrain elevations in BRLF 1Q 2016 Groundwater.pdf</t>
  </si>
  <si>
    <t>m</t>
  </si>
  <si>
    <t>Unsaturated Zone Parameters</t>
  </si>
  <si>
    <t>Ksat</t>
  </si>
  <si>
    <t>ft/day</t>
  </si>
  <si>
    <t>Based on data in Aquifer characteristics.pdf</t>
  </si>
  <si>
    <t>Effective porosity</t>
  </si>
  <si>
    <t>Precipitation</t>
  </si>
  <si>
    <t>Midpoint between low (1.04 ft/d) and high (10.72 ft/d) values</t>
  </si>
  <si>
    <t>Aquifer characteristics.pdf</t>
  </si>
  <si>
    <t>m/yr</t>
  </si>
  <si>
    <t>Infiltration Parameters</t>
  </si>
  <si>
    <t>Groundwater Assessment Parameters</t>
  </si>
  <si>
    <t>Van G n</t>
  </si>
  <si>
    <t>VanG alpha</t>
  </si>
  <si>
    <t>ThetaS</t>
  </si>
  <si>
    <t>ThetaR</t>
  </si>
  <si>
    <t>KSat</t>
  </si>
  <si>
    <t>1/m</t>
  </si>
  <si>
    <t xml:space="preserve">Evapotranspiration </t>
  </si>
  <si>
    <t>Evapotrans coeffcient</t>
  </si>
  <si>
    <t>Infiltration</t>
  </si>
  <si>
    <t>Hydraulic gradient</t>
  </si>
  <si>
    <t>m/m</t>
  </si>
  <si>
    <t>Pore Velocity</t>
  </si>
  <si>
    <t>Calculated</t>
  </si>
  <si>
    <t>Aquifer Parameters</t>
  </si>
  <si>
    <t>Source Parameters</t>
  </si>
  <si>
    <t>Area</t>
  </si>
  <si>
    <t>ft2</t>
  </si>
  <si>
    <t>Mass</t>
  </si>
  <si>
    <t>kg</t>
  </si>
  <si>
    <t>Density</t>
  </si>
  <si>
    <t>kg/m3</t>
  </si>
  <si>
    <t>Thickness</t>
  </si>
  <si>
    <t>U-238</t>
  </si>
  <si>
    <t>Th-230</t>
  </si>
  <si>
    <t>Ra-226</t>
  </si>
  <si>
    <t>Ra-228</t>
  </si>
  <si>
    <t>Th-232</t>
  </si>
  <si>
    <t>Inventories</t>
  </si>
  <si>
    <t>Aquifer characteristics.pdf, average value</t>
  </si>
  <si>
    <t>Darcy Velocity</t>
  </si>
  <si>
    <t>Kd Values</t>
  </si>
  <si>
    <t>RESRAD Default</t>
  </si>
  <si>
    <t>Pb</t>
  </si>
  <si>
    <t>Ra</t>
  </si>
  <si>
    <t>Th</t>
  </si>
  <si>
    <t>U</t>
  </si>
  <si>
    <t>mL/g</t>
  </si>
  <si>
    <t>Sheppard &amp; Thibault (sand)</t>
  </si>
  <si>
    <t>Sheet1.pdf -CornerstoneEnvironmental BES Waste Placement Areas, 17 100 ft x 100 ft blocks</t>
  </si>
  <si>
    <t>Average</t>
  </si>
  <si>
    <t>Pb-210</t>
  </si>
  <si>
    <t>Cross flow length</t>
  </si>
  <si>
    <t>Parrallel to flow</t>
  </si>
  <si>
    <t>Based on the approximate position of BES waste emplacement pictured on Sheet1.pdf and BRLF 1Q 2016 Groundwater.pdf</t>
  </si>
  <si>
    <t>U-234</t>
  </si>
  <si>
    <t>Th-228</t>
  </si>
  <si>
    <t>Radionuclide</t>
  </si>
  <si>
    <t>Worst Case (Ci)</t>
  </si>
  <si>
    <t>NCRP SF (rem/Ci)</t>
  </si>
  <si>
    <t>Average(Ci)</t>
  </si>
  <si>
    <t>Representative (Ci)</t>
  </si>
  <si>
    <t>Dose (mrem)</t>
  </si>
  <si>
    <t xml:space="preserve">Worst Case </t>
  </si>
  <si>
    <t>Representative</t>
  </si>
  <si>
    <t>NRCP SF* (Sv/Bq)</t>
  </si>
  <si>
    <t>* Ground factors for water pathway</t>
  </si>
  <si>
    <t>m^2</t>
  </si>
  <si>
    <t>Thickness of waste</t>
  </si>
  <si>
    <t># of cells parallel to flow</t>
  </si>
  <si>
    <t>Number of 100' disposal cells parallel to groundwater flow</t>
  </si>
  <si>
    <t>width of source perpendicular to flow</t>
  </si>
  <si>
    <t>length of source parallel to source</t>
  </si>
  <si>
    <t>RAD Waste Parameters</t>
  </si>
  <si>
    <t>Representative (Ci)a</t>
  </si>
  <si>
    <t>Sandy loam from Carsel and Parrish in MCM manual</t>
  </si>
  <si>
    <t xml:space="preserve">48.7 in/yr for Irvine, KY (where landfill is) from http://www.usclimatedata.com/climate/irvine/kentucky/united-states/usky1783 </t>
  </si>
  <si>
    <r>
      <t xml:space="preserve">Assumed density of </t>
    </r>
    <r>
      <rPr>
        <u/>
        <sz val="10"/>
        <color theme="1"/>
        <rFont val="Arial"/>
      </rPr>
      <t>compacted</t>
    </r>
    <r>
      <rPr>
        <sz val="10"/>
        <color theme="1"/>
        <rFont val="Arial"/>
        <family val="2"/>
      </rPr>
      <t xml:space="preserve"> waste</t>
    </r>
  </si>
  <si>
    <t>Table E.1 in Yu et al. 1993. Based on Rolling land with average slopes NOTE: Values in E.1 for c1,c2,c3 are 0.2, 0.4, 0.15 and Cr=1-c1,c2,c3</t>
  </si>
  <si>
    <t>Runnoff Coeff (Cr)</t>
  </si>
  <si>
    <t>Minimum compacted waste thickness in a disposal as provided in Daily Cell Construction.pdf</t>
  </si>
  <si>
    <t>Assume Sandy loam properties</t>
  </si>
  <si>
    <t>Representative/3</t>
  </si>
  <si>
    <t>Depth to GW from base of waste</t>
  </si>
  <si>
    <t>cell thickness - Add explicit dispersion such that aL=Z/10</t>
  </si>
  <si>
    <t>Sandy loam from Carsel and Parrish</t>
  </si>
  <si>
    <t>Inflow SampleID</t>
  </si>
  <si>
    <t>Ra-226 Conc (pCi/L)</t>
  </si>
  <si>
    <t>Sediment Sample ID</t>
  </si>
  <si>
    <t>Ra-226 Conc (pCi/g)</t>
  </si>
  <si>
    <t>POND 1 INFLUENT</t>
  </si>
  <si>
    <t>POND 1 SEDIMENT</t>
  </si>
  <si>
    <t>POND 3 INFLUENT</t>
  </si>
  <si>
    <t>POND 3 SEDIMENT</t>
  </si>
  <si>
    <t>POND 3 EFFLUENT</t>
  </si>
  <si>
    <t>Kd (mL/g)</t>
  </si>
  <si>
    <t>POND 3 OVERFLOW</t>
  </si>
  <si>
    <t>POND 4 INFLUENT</t>
  </si>
  <si>
    <t>POND 4 EFFLUENT</t>
  </si>
  <si>
    <t>POND 4 SEDIMENT</t>
  </si>
  <si>
    <t>INFINITE</t>
  </si>
  <si>
    <t>Value used</t>
  </si>
  <si>
    <t>Figure 12.1 in Yu et al., 1993, Data Collection Handbook to Support Modeling the Impacts of Radioactive Material in Soil: Converted from 24 in/yr</t>
  </si>
  <si>
    <t>a. See RepresentativeConcentrationRev2 sheet in Airborne Emissions-9-15-16.xls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</si>
</sst>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u/>
      <sz val="10"/>
      <color theme="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2" fontId="0" fillId="0" borderId="0" xfId="0" applyNumberFormat="1"/>
    <xf numFmtId="11" fontId="0" fillId="0" borderId="0" xfId="0" applyNumberFormat="1" applyFont="1"/>
    <xf numFmtId="165" fontId="0" fillId="0" borderId="0" xfId="0" applyNumberFormat="1"/>
  </cellXfs>
  <cellStyles count="2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8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="150" zoomScaleNormal="150" zoomScalePageLayoutView="150" workbookViewId="0">
      <selection activeCell="E50" sqref="E50"/>
    </sheetView>
  </sheetViews>
  <sheetFormatPr defaultColWidth="11.42578125" defaultRowHeight="12.75" x14ac:dyDescent="0.2"/>
  <cols>
    <col min="1" max="1" width="19.85546875" customWidth="1"/>
  </cols>
  <sheetData>
    <row r="1" spans="1:4" x14ac:dyDescent="0.2">
      <c r="A1" s="1" t="s">
        <v>13</v>
      </c>
    </row>
    <row r="3" spans="1:4" x14ac:dyDescent="0.2">
      <c r="A3" s="1" t="s">
        <v>86</v>
      </c>
    </row>
    <row r="4" spans="1:4" x14ac:dyDescent="0.2">
      <c r="A4">
        <v>40</v>
      </c>
      <c r="B4" t="s">
        <v>0</v>
      </c>
      <c r="C4" t="s">
        <v>57</v>
      </c>
    </row>
    <row r="5" spans="1:4" x14ac:dyDescent="0.2">
      <c r="A5">
        <f>A4*0.3048</f>
        <v>12.192</v>
      </c>
      <c r="B5" t="s">
        <v>2</v>
      </c>
      <c r="C5" t="s">
        <v>1</v>
      </c>
    </row>
    <row r="6" spans="1:4" x14ac:dyDescent="0.2">
      <c r="A6">
        <v>1</v>
      </c>
      <c r="B6" t="s">
        <v>2</v>
      </c>
      <c r="C6" t="s">
        <v>87</v>
      </c>
    </row>
    <row r="7" spans="1:4" x14ac:dyDescent="0.2">
      <c r="A7" s="1" t="s">
        <v>3</v>
      </c>
      <c r="D7" t="s">
        <v>6</v>
      </c>
    </row>
    <row r="8" spans="1:4" x14ac:dyDescent="0.2">
      <c r="A8" t="s">
        <v>84</v>
      </c>
    </row>
    <row r="9" spans="1:4" x14ac:dyDescent="0.2">
      <c r="A9" t="s">
        <v>4</v>
      </c>
      <c r="B9">
        <f>B26*0.3048*365</f>
        <v>556.26</v>
      </c>
      <c r="C9" t="s">
        <v>11</v>
      </c>
      <c r="D9" t="s">
        <v>10</v>
      </c>
    </row>
    <row r="10" spans="1:4" x14ac:dyDescent="0.2">
      <c r="A10" t="s">
        <v>14</v>
      </c>
      <c r="B10">
        <v>1.89</v>
      </c>
      <c r="D10" t="s">
        <v>78</v>
      </c>
    </row>
    <row r="11" spans="1:4" x14ac:dyDescent="0.2">
      <c r="A11" t="s">
        <v>15</v>
      </c>
      <c r="B11">
        <v>7.5</v>
      </c>
      <c r="C11" t="s">
        <v>19</v>
      </c>
      <c r="D11" t="s">
        <v>78</v>
      </c>
    </row>
    <row r="12" spans="1:4" x14ac:dyDescent="0.2">
      <c r="A12" t="s">
        <v>16</v>
      </c>
      <c r="B12">
        <v>0.15</v>
      </c>
      <c r="D12" t="s">
        <v>10</v>
      </c>
    </row>
    <row r="13" spans="1:4" x14ac:dyDescent="0.2">
      <c r="A13" t="s">
        <v>17</v>
      </c>
      <c r="B13">
        <v>6.5000000000000002E-2</v>
      </c>
      <c r="D13" t="s">
        <v>78</v>
      </c>
    </row>
    <row r="14" spans="1:4" x14ac:dyDescent="0.2">
      <c r="A14" t="s">
        <v>18</v>
      </c>
      <c r="B14">
        <v>387.19</v>
      </c>
      <c r="C14" t="s">
        <v>11</v>
      </c>
      <c r="D14" t="s">
        <v>78</v>
      </c>
    </row>
    <row r="16" spans="1:4" x14ac:dyDescent="0.2">
      <c r="A16" s="1" t="s">
        <v>12</v>
      </c>
    </row>
    <row r="17" spans="1:4" x14ac:dyDescent="0.2">
      <c r="A17" t="s">
        <v>8</v>
      </c>
      <c r="B17">
        <f>48.7*0.0254</f>
        <v>1.23698</v>
      </c>
      <c r="C17" t="s">
        <v>11</v>
      </c>
      <c r="D17" t="s">
        <v>79</v>
      </c>
    </row>
    <row r="18" spans="1:4" x14ac:dyDescent="0.2">
      <c r="A18" t="s">
        <v>20</v>
      </c>
      <c r="B18">
        <f>24*0.0254</f>
        <v>0.60959999999999992</v>
      </c>
      <c r="C18" t="s">
        <v>11</v>
      </c>
      <c r="D18" t="s">
        <v>105</v>
      </c>
    </row>
    <row r="19" spans="1:4" x14ac:dyDescent="0.2">
      <c r="A19" t="s">
        <v>82</v>
      </c>
      <c r="B19">
        <v>0.25</v>
      </c>
      <c r="D19" t="s">
        <v>81</v>
      </c>
    </row>
    <row r="20" spans="1:4" x14ac:dyDescent="0.2">
      <c r="A20" t="s">
        <v>21</v>
      </c>
      <c r="B20" s="7">
        <f>B18/((1-B19)*B17)</f>
        <v>0.65708418891170428</v>
      </c>
    </row>
    <row r="21" spans="1:4" x14ac:dyDescent="0.2">
      <c r="A21" t="s">
        <v>22</v>
      </c>
      <c r="B21" s="5">
        <f>(1-B20)*(1-B19)*B17</f>
        <v>0.318135</v>
      </c>
      <c r="C21" t="s">
        <v>11</v>
      </c>
    </row>
    <row r="23" spans="1:4" x14ac:dyDescent="0.2">
      <c r="A23" s="1" t="s">
        <v>27</v>
      </c>
    </row>
    <row r="24" spans="1:4" x14ac:dyDescent="0.2">
      <c r="A24" t="s">
        <v>7</v>
      </c>
      <c r="B24">
        <v>0.15</v>
      </c>
      <c r="D24" t="s">
        <v>10</v>
      </c>
    </row>
    <row r="25" spans="1:4" x14ac:dyDescent="0.2">
      <c r="A25" t="s">
        <v>23</v>
      </c>
      <c r="B25">
        <v>3.9899999999999998E-2</v>
      </c>
      <c r="C25" t="s">
        <v>24</v>
      </c>
      <c r="D25" t="s">
        <v>10</v>
      </c>
    </row>
    <row r="26" spans="1:4" x14ac:dyDescent="0.2">
      <c r="A26" t="s">
        <v>4</v>
      </c>
      <c r="B26">
        <v>5</v>
      </c>
      <c r="C26" t="s">
        <v>5</v>
      </c>
      <c r="D26" t="s">
        <v>9</v>
      </c>
    </row>
    <row r="27" spans="1:4" x14ac:dyDescent="0.2">
      <c r="A27" t="s">
        <v>4</v>
      </c>
      <c r="B27">
        <f>B9</f>
        <v>556.26</v>
      </c>
      <c r="C27" t="s">
        <v>11</v>
      </c>
      <c r="D27" t="s">
        <v>10</v>
      </c>
    </row>
    <row r="28" spans="1:4" x14ac:dyDescent="0.2">
      <c r="A28" t="s">
        <v>43</v>
      </c>
      <c r="B28">
        <f>B27*B24</f>
        <v>83.438999999999993</v>
      </c>
      <c r="D28" t="s">
        <v>26</v>
      </c>
    </row>
    <row r="29" spans="1:4" x14ac:dyDescent="0.2">
      <c r="A29" t="s">
        <v>25</v>
      </c>
      <c r="B29">
        <f>B27*B25/B24</f>
        <v>147.96516</v>
      </c>
      <c r="C29" t="s">
        <v>11</v>
      </c>
      <c r="D29" t="s">
        <v>26</v>
      </c>
    </row>
    <row r="30" spans="1:4" x14ac:dyDescent="0.2">
      <c r="A30" t="s">
        <v>35</v>
      </c>
      <c r="B30">
        <f>14.9*0.3048</f>
        <v>4.5415200000000002</v>
      </c>
      <c r="C30" t="s">
        <v>2</v>
      </c>
      <c r="D30" t="s">
        <v>42</v>
      </c>
    </row>
    <row r="32" spans="1:4" x14ac:dyDescent="0.2">
      <c r="A32" s="1" t="s">
        <v>28</v>
      </c>
    </row>
    <row r="33" spans="1:4" x14ac:dyDescent="0.2">
      <c r="A33" t="s">
        <v>29</v>
      </c>
      <c r="B33">
        <f>10000*17</f>
        <v>170000</v>
      </c>
      <c r="C33" t="s">
        <v>30</v>
      </c>
      <c r="D33" t="s">
        <v>52</v>
      </c>
    </row>
    <row r="34" spans="1:4" x14ac:dyDescent="0.2">
      <c r="A34" t="s">
        <v>29</v>
      </c>
      <c r="B34">
        <f>B33*0.0929</f>
        <v>15793</v>
      </c>
      <c r="C34" t="s">
        <v>70</v>
      </c>
    </row>
    <row r="35" spans="1:4" x14ac:dyDescent="0.2">
      <c r="A35" t="s">
        <v>71</v>
      </c>
      <c r="B35">
        <v>3</v>
      </c>
      <c r="C35" t="s">
        <v>2</v>
      </c>
      <c r="D35" t="s">
        <v>83</v>
      </c>
    </row>
    <row r="36" spans="1:4" x14ac:dyDescent="0.2">
      <c r="A36" t="s">
        <v>72</v>
      </c>
      <c r="B36">
        <v>5</v>
      </c>
      <c r="D36" t="s">
        <v>73</v>
      </c>
    </row>
    <row r="37" spans="1:4" x14ac:dyDescent="0.2">
      <c r="A37" t="s">
        <v>55</v>
      </c>
      <c r="B37">
        <f>B34/B38</f>
        <v>103.62860892388451</v>
      </c>
      <c r="C37" t="s">
        <v>2</v>
      </c>
      <c r="D37" t="s">
        <v>74</v>
      </c>
    </row>
    <row r="38" spans="1:4" x14ac:dyDescent="0.2">
      <c r="A38" t="s">
        <v>56</v>
      </c>
      <c r="B38">
        <f>B36*100*0.3048</f>
        <v>152.4</v>
      </c>
      <c r="C38" t="s">
        <v>2</v>
      </c>
      <c r="D38" t="s">
        <v>75</v>
      </c>
    </row>
    <row r="39" spans="1:4" x14ac:dyDescent="0.2">
      <c r="A39" t="s">
        <v>33</v>
      </c>
      <c r="B39" s="2">
        <v>1500</v>
      </c>
      <c r="C39" t="s">
        <v>34</v>
      </c>
      <c r="D39" t="s">
        <v>80</v>
      </c>
    </row>
    <row r="40" spans="1:4" x14ac:dyDescent="0.2">
      <c r="A40" t="s">
        <v>31</v>
      </c>
      <c r="B40" s="2">
        <f>B35*B34*B39</f>
        <v>71068500</v>
      </c>
      <c r="C40" t="s">
        <v>32</v>
      </c>
    </row>
    <row r="41" spans="1:4" x14ac:dyDescent="0.2">
      <c r="A41" t="s">
        <v>4</v>
      </c>
      <c r="B41" s="2">
        <v>387.2</v>
      </c>
      <c r="C41" t="s">
        <v>11</v>
      </c>
      <c r="D41" t="s">
        <v>88</v>
      </c>
    </row>
    <row r="42" spans="1:4" x14ac:dyDescent="0.2">
      <c r="A42" t="s">
        <v>16</v>
      </c>
      <c r="B42">
        <v>0.41</v>
      </c>
      <c r="D42" t="s">
        <v>78</v>
      </c>
    </row>
    <row r="43" spans="1:4" x14ac:dyDescent="0.2">
      <c r="A43" t="s">
        <v>17</v>
      </c>
      <c r="B43">
        <v>6.5000000000000002E-2</v>
      </c>
      <c r="D43" t="s">
        <v>78</v>
      </c>
    </row>
    <row r="44" spans="1:4" x14ac:dyDescent="0.2">
      <c r="A44" t="s">
        <v>14</v>
      </c>
      <c r="B44">
        <v>1.89</v>
      </c>
      <c r="D44" t="s">
        <v>78</v>
      </c>
    </row>
    <row r="45" spans="1:4" x14ac:dyDescent="0.2">
      <c r="A45" t="s">
        <v>15</v>
      </c>
      <c r="B45">
        <v>7.5</v>
      </c>
      <c r="C45" t="s">
        <v>19</v>
      </c>
      <c r="D45" t="s">
        <v>78</v>
      </c>
    </row>
    <row r="47" spans="1:4" x14ac:dyDescent="0.2">
      <c r="A47" s="1" t="s">
        <v>76</v>
      </c>
    </row>
    <row r="49" spans="1:7" ht="25.5" x14ac:dyDescent="0.2">
      <c r="A49" t="s">
        <v>41</v>
      </c>
      <c r="B49" s="3"/>
      <c r="C49" s="3" t="s">
        <v>77</v>
      </c>
      <c r="D49" s="3"/>
      <c r="E49" s="3" t="s">
        <v>85</v>
      </c>
    </row>
    <row r="50" spans="1:7" x14ac:dyDescent="0.2">
      <c r="A50" t="s">
        <v>36</v>
      </c>
      <c r="B50" s="6"/>
      <c r="C50" s="2">
        <v>1.4004659770034811E-2</v>
      </c>
      <c r="D50" s="2"/>
      <c r="E50" s="2">
        <f>C50/3</f>
        <v>4.6682199233449373E-3</v>
      </c>
      <c r="G50" s="2"/>
    </row>
    <row r="51" spans="1:7" x14ac:dyDescent="0.2">
      <c r="A51" t="s">
        <v>58</v>
      </c>
      <c r="B51" s="6"/>
      <c r="C51" s="2">
        <v>1.4004659770034811E-2</v>
      </c>
      <c r="D51" s="2"/>
      <c r="E51" s="2">
        <f t="shared" ref="E51:E57" si="0">C51/3</f>
        <v>4.6682199233449373E-3</v>
      </c>
      <c r="G51" s="2"/>
    </row>
    <row r="52" spans="1:7" x14ac:dyDescent="0.2">
      <c r="A52" t="s">
        <v>37</v>
      </c>
      <c r="B52" s="6"/>
      <c r="C52" s="2">
        <v>0.17750762177657287</v>
      </c>
      <c r="D52" s="2"/>
      <c r="E52" s="2">
        <f t="shared" si="0"/>
        <v>5.9169207258857624E-2</v>
      </c>
      <c r="G52" s="2"/>
    </row>
    <row r="53" spans="1:7" x14ac:dyDescent="0.2">
      <c r="A53" t="s">
        <v>38</v>
      </c>
      <c r="B53" s="6"/>
      <c r="C53" s="2">
        <v>0.17116806385598099</v>
      </c>
      <c r="D53" s="2"/>
      <c r="E53" s="2">
        <f t="shared" si="0"/>
        <v>5.7056021285326997E-2</v>
      </c>
      <c r="G53" s="2"/>
    </row>
    <row r="54" spans="1:7" x14ac:dyDescent="0.2">
      <c r="A54" t="s">
        <v>54</v>
      </c>
      <c r="B54" s="6"/>
      <c r="C54" s="2">
        <v>1.5248645880911814E-2</v>
      </c>
      <c r="D54" s="2"/>
      <c r="E54" s="2">
        <f t="shared" si="0"/>
        <v>5.082881960303938E-3</v>
      </c>
      <c r="G54" s="2"/>
    </row>
    <row r="55" spans="1:7" x14ac:dyDescent="0.2">
      <c r="A55" t="s">
        <v>40</v>
      </c>
      <c r="B55" s="6"/>
      <c r="C55" s="2">
        <v>9.354011676078576E-2</v>
      </c>
      <c r="D55" s="2"/>
      <c r="E55" s="2">
        <f t="shared" si="0"/>
        <v>3.1180038920261919E-2</v>
      </c>
      <c r="G55" s="2"/>
    </row>
    <row r="56" spans="1:7" x14ac:dyDescent="0.2">
      <c r="A56" t="s">
        <v>39</v>
      </c>
      <c r="B56" s="6"/>
      <c r="C56" s="2">
        <v>6.3873403979252785E-2</v>
      </c>
      <c r="D56" s="2"/>
      <c r="E56" s="2">
        <f t="shared" si="0"/>
        <v>2.1291134659750927E-2</v>
      </c>
      <c r="G56" s="2"/>
    </row>
    <row r="57" spans="1:7" x14ac:dyDescent="0.2">
      <c r="A57" t="s">
        <v>59</v>
      </c>
      <c r="B57" s="6"/>
      <c r="C57" s="2">
        <v>4.9411328160834739E-2</v>
      </c>
      <c r="D57" s="2"/>
      <c r="E57" s="2">
        <f t="shared" si="0"/>
        <v>1.6470442720278245E-2</v>
      </c>
      <c r="G57" s="2"/>
    </row>
    <row r="58" spans="1:7" x14ac:dyDescent="0.2">
      <c r="B58" s="2"/>
      <c r="C58" s="2"/>
      <c r="D58" s="2"/>
    </row>
    <row r="59" spans="1:7" x14ac:dyDescent="0.2">
      <c r="A59" t="s">
        <v>106</v>
      </c>
    </row>
    <row r="62" spans="1:7" x14ac:dyDescent="0.2">
      <c r="A62" t="s">
        <v>44</v>
      </c>
      <c r="B62" t="s">
        <v>45</v>
      </c>
      <c r="D62" t="s">
        <v>51</v>
      </c>
      <c r="F62" t="s">
        <v>104</v>
      </c>
    </row>
    <row r="63" spans="1:7" x14ac:dyDescent="0.2">
      <c r="A63" t="s">
        <v>46</v>
      </c>
      <c r="B63">
        <v>100</v>
      </c>
      <c r="C63" t="s">
        <v>50</v>
      </c>
      <c r="D63">
        <v>270</v>
      </c>
      <c r="F63">
        <f>MIN(B63,D63)</f>
        <v>100</v>
      </c>
    </row>
    <row r="64" spans="1:7" x14ac:dyDescent="0.2">
      <c r="A64" t="s">
        <v>47</v>
      </c>
      <c r="B64">
        <v>70</v>
      </c>
      <c r="C64" t="s">
        <v>50</v>
      </c>
      <c r="D64">
        <v>500</v>
      </c>
      <c r="F64">
        <f t="shared" ref="F64:F66" si="1">MIN(B64,D64)</f>
        <v>70</v>
      </c>
    </row>
    <row r="65" spans="1:6" x14ac:dyDescent="0.2">
      <c r="A65" t="s">
        <v>48</v>
      </c>
      <c r="B65">
        <v>60000</v>
      </c>
      <c r="C65" t="s">
        <v>50</v>
      </c>
      <c r="D65">
        <v>3200</v>
      </c>
      <c r="F65">
        <f t="shared" si="1"/>
        <v>3200</v>
      </c>
    </row>
    <row r="66" spans="1:6" x14ac:dyDescent="0.2">
      <c r="A66" t="s">
        <v>49</v>
      </c>
      <c r="B66">
        <v>50</v>
      </c>
      <c r="C66" t="s">
        <v>50</v>
      </c>
      <c r="D66">
        <v>35</v>
      </c>
      <c r="F66">
        <f t="shared" si="1"/>
        <v>35</v>
      </c>
    </row>
    <row r="72" spans="1:6" x14ac:dyDescent="0.2">
      <c r="B72" s="4"/>
      <c r="C72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zoomScale="150" zoomScaleNormal="150" zoomScalePageLayoutView="150" workbookViewId="0">
      <selection activeCell="H4" sqref="H4:H11"/>
    </sheetView>
  </sheetViews>
  <sheetFormatPr defaultColWidth="11.42578125" defaultRowHeight="12.75" x14ac:dyDescent="0.2"/>
  <sheetData>
    <row r="2" spans="1:11" x14ac:dyDescent="0.2">
      <c r="G2" t="s">
        <v>65</v>
      </c>
    </row>
    <row r="3" spans="1:11" ht="25.5" x14ac:dyDescent="0.2">
      <c r="A3" t="s">
        <v>60</v>
      </c>
      <c r="B3" s="3" t="s">
        <v>61</v>
      </c>
      <c r="C3" s="3" t="s">
        <v>64</v>
      </c>
      <c r="D3" s="3" t="s">
        <v>63</v>
      </c>
      <c r="E3" s="3" t="s">
        <v>68</v>
      </c>
      <c r="F3" s="3" t="s">
        <v>62</v>
      </c>
      <c r="G3" s="3" t="s">
        <v>66</v>
      </c>
      <c r="H3" s="3" t="s">
        <v>67</v>
      </c>
      <c r="I3" s="3" t="s">
        <v>53</v>
      </c>
    </row>
    <row r="4" spans="1:11" x14ac:dyDescent="0.2">
      <c r="A4" t="s">
        <v>36</v>
      </c>
      <c r="B4" s="2">
        <f>Parameters!B50</f>
        <v>0</v>
      </c>
      <c r="C4" s="2">
        <v>1.4004659770034811E-2</v>
      </c>
      <c r="D4" s="2">
        <f>Parameters!D50</f>
        <v>0</v>
      </c>
      <c r="E4" s="2">
        <v>1.4000000000000001E-10</v>
      </c>
      <c r="F4" s="2">
        <f>E4*100*37000000000</f>
        <v>518</v>
      </c>
      <c r="G4" s="2">
        <f>$F4*B4*1000</f>
        <v>0</v>
      </c>
      <c r="H4" s="2">
        <f t="shared" ref="H4:H11" si="0">$F4*C4*1000</f>
        <v>7254.413760878032</v>
      </c>
      <c r="I4" s="2">
        <f t="shared" ref="I4:I11" si="1">$F4*D4*1000</f>
        <v>0</v>
      </c>
      <c r="K4" s="2"/>
    </row>
    <row r="5" spans="1:11" x14ac:dyDescent="0.2">
      <c r="A5" t="s">
        <v>58</v>
      </c>
      <c r="B5" s="2">
        <f>Parameters!B51</f>
        <v>0</v>
      </c>
      <c r="C5" s="2">
        <v>1.4004659770034811E-2</v>
      </c>
      <c r="D5" s="2">
        <f>Parameters!D51</f>
        <v>0</v>
      </c>
      <c r="E5" s="2">
        <v>4.1999999999999999E-12</v>
      </c>
      <c r="F5" s="2">
        <f t="shared" ref="F5:F11" si="2">E5*100*37000000000</f>
        <v>15.54</v>
      </c>
      <c r="G5" s="2">
        <f t="shared" ref="G5:G11" si="3">$F5*B5*1000</f>
        <v>0</v>
      </c>
      <c r="H5" s="2">
        <f t="shared" si="0"/>
        <v>217.63241282634095</v>
      </c>
      <c r="I5" s="2">
        <f t="shared" si="1"/>
        <v>0</v>
      </c>
      <c r="K5" s="2"/>
    </row>
    <row r="6" spans="1:11" x14ac:dyDescent="0.2">
      <c r="A6" t="s">
        <v>37</v>
      </c>
      <c r="B6" s="2">
        <f>Parameters!B52</f>
        <v>0</v>
      </c>
      <c r="C6" s="2">
        <v>0.17750762177657287</v>
      </c>
      <c r="D6" s="2">
        <f>Parameters!D52</f>
        <v>0</v>
      </c>
      <c r="E6" s="2">
        <v>5.2000000000000001E-13</v>
      </c>
      <c r="F6" s="2">
        <f t="shared" si="2"/>
        <v>1.9240000000000002</v>
      </c>
      <c r="G6" s="2">
        <f t="shared" si="3"/>
        <v>0</v>
      </c>
      <c r="H6" s="2">
        <f t="shared" si="0"/>
        <v>341.5246642981262</v>
      </c>
      <c r="I6" s="2">
        <f t="shared" si="1"/>
        <v>0</v>
      </c>
      <c r="K6" s="2"/>
    </row>
    <row r="7" spans="1:11" x14ac:dyDescent="0.2">
      <c r="A7" t="s">
        <v>38</v>
      </c>
      <c r="B7" s="2">
        <f>Parameters!B53</f>
        <v>0</v>
      </c>
      <c r="C7" s="2">
        <v>0.17116806385598099</v>
      </c>
      <c r="D7" s="2">
        <f>Parameters!D53</f>
        <v>0</v>
      </c>
      <c r="E7" s="2">
        <v>4.5999999999999998E-12</v>
      </c>
      <c r="F7" s="2">
        <f t="shared" si="2"/>
        <v>17.02</v>
      </c>
      <c r="G7" s="2">
        <f t="shared" si="3"/>
        <v>0</v>
      </c>
      <c r="H7" s="2">
        <f t="shared" si="0"/>
        <v>2913.2804468287964</v>
      </c>
      <c r="I7" s="2">
        <f t="shared" si="1"/>
        <v>0</v>
      </c>
      <c r="K7" s="2"/>
    </row>
    <row r="8" spans="1:11" x14ac:dyDescent="0.2">
      <c r="A8" t="s">
        <v>54</v>
      </c>
      <c r="B8" s="2">
        <f>Parameters!B54</f>
        <v>0</v>
      </c>
      <c r="C8" s="2">
        <v>1.5248645880911814E-2</v>
      </c>
      <c r="D8" s="2">
        <f>Parameters!D54</f>
        <v>0</v>
      </c>
      <c r="E8" s="2">
        <v>5.3999999999999996E-12</v>
      </c>
      <c r="F8" s="2">
        <f t="shared" si="2"/>
        <v>19.98</v>
      </c>
      <c r="G8" s="2">
        <f t="shared" si="3"/>
        <v>0</v>
      </c>
      <c r="H8" s="2">
        <f t="shared" si="0"/>
        <v>304.66794470061802</v>
      </c>
      <c r="I8" s="2">
        <f t="shared" si="1"/>
        <v>0</v>
      </c>
      <c r="K8" s="2"/>
    </row>
    <row r="9" spans="1:11" x14ac:dyDescent="0.2">
      <c r="A9" t="s">
        <v>40</v>
      </c>
      <c r="B9" s="2">
        <f>Parameters!B55</f>
        <v>0</v>
      </c>
      <c r="C9" s="2">
        <v>9.354011676078576E-2</v>
      </c>
      <c r="D9" s="2">
        <f>Parameters!D55</f>
        <v>0</v>
      </c>
      <c r="E9" s="2">
        <v>4.7999999999999997E-13</v>
      </c>
      <c r="F9" s="2">
        <f t="shared" si="2"/>
        <v>1.7759999999999998</v>
      </c>
      <c r="G9" s="2">
        <f t="shared" si="3"/>
        <v>0</v>
      </c>
      <c r="H9" s="2">
        <f t="shared" si="0"/>
        <v>166.12724736715549</v>
      </c>
      <c r="I9" s="2">
        <f t="shared" si="1"/>
        <v>0</v>
      </c>
      <c r="K9" s="2"/>
    </row>
    <row r="10" spans="1:11" x14ac:dyDescent="0.2">
      <c r="A10" t="s">
        <v>39</v>
      </c>
      <c r="B10" s="2">
        <f>Parameters!B56</f>
        <v>0</v>
      </c>
      <c r="C10" s="2">
        <v>6.3873403979252785E-2</v>
      </c>
      <c r="D10" s="2">
        <f>Parameters!D56</f>
        <v>0</v>
      </c>
      <c r="E10" s="2">
        <v>5.4000000000000002E-13</v>
      </c>
      <c r="F10" s="2">
        <f t="shared" si="2"/>
        <v>1.998</v>
      </c>
      <c r="G10" s="2">
        <f t="shared" si="3"/>
        <v>0</v>
      </c>
      <c r="H10" s="2">
        <f t="shared" si="0"/>
        <v>127.61906115054705</v>
      </c>
      <c r="I10" s="2">
        <f t="shared" si="1"/>
        <v>0</v>
      </c>
      <c r="K10" s="2"/>
    </row>
    <row r="11" spans="1:11" x14ac:dyDescent="0.2">
      <c r="A11" t="s">
        <v>59</v>
      </c>
      <c r="B11" s="2">
        <f>Parameters!B57</f>
        <v>0</v>
      </c>
      <c r="C11" s="2">
        <v>4.9411328160834739E-2</v>
      </c>
      <c r="D11" s="2">
        <f>Parameters!D57</f>
        <v>0</v>
      </c>
      <c r="E11" s="2">
        <v>2.0999999999999998E-15</v>
      </c>
      <c r="F11" s="2">
        <f t="shared" si="2"/>
        <v>7.77E-3</v>
      </c>
      <c r="G11" s="2">
        <f t="shared" si="3"/>
        <v>0</v>
      </c>
      <c r="H11" s="2">
        <f t="shared" si="0"/>
        <v>0.38392601980968594</v>
      </c>
      <c r="I11" s="2">
        <f t="shared" si="1"/>
        <v>0</v>
      </c>
      <c r="K11" s="2"/>
    </row>
    <row r="13" spans="1:11" x14ac:dyDescent="0.2">
      <c r="A13" t="s">
        <v>69</v>
      </c>
    </row>
    <row r="16" spans="1:11" x14ac:dyDescent="0.2">
      <c r="B16" s="2"/>
    </row>
    <row r="17" spans="2:3" x14ac:dyDescent="0.2">
      <c r="B17" s="2"/>
    </row>
    <row r="18" spans="2:3" x14ac:dyDescent="0.2">
      <c r="B18" s="2"/>
      <c r="C18" s="2"/>
    </row>
    <row r="19" spans="2:3" x14ac:dyDescent="0.2">
      <c r="B19" s="2"/>
      <c r="C19" s="2"/>
    </row>
    <row r="20" spans="2:3" x14ac:dyDescent="0.2">
      <c r="B20" s="2"/>
      <c r="C20" s="2"/>
    </row>
    <row r="21" spans="2:3" x14ac:dyDescent="0.2">
      <c r="B21" s="2"/>
      <c r="C21" s="2"/>
    </row>
    <row r="22" spans="2:3" x14ac:dyDescent="0.2">
      <c r="B22" s="2"/>
      <c r="C22" s="2"/>
    </row>
    <row r="23" spans="2:3" x14ac:dyDescent="0.2">
      <c r="B23" s="2"/>
      <c r="C23" s="2"/>
    </row>
    <row r="24" spans="2:3" x14ac:dyDescent="0.2">
      <c r="C24" s="2"/>
    </row>
    <row r="25" spans="2:3" x14ac:dyDescent="0.2">
      <c r="C25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50" zoomScaleNormal="150" zoomScalePageLayoutView="150" workbookViewId="0">
      <selection activeCell="A5" sqref="A5"/>
    </sheetView>
  </sheetViews>
  <sheetFormatPr defaultColWidth="11.42578125" defaultRowHeight="12.75" x14ac:dyDescent="0.2"/>
  <cols>
    <col min="1" max="1" width="23.7109375" customWidth="1"/>
    <col min="3" max="3" width="24.7109375" customWidth="1"/>
  </cols>
  <sheetData>
    <row r="1" spans="1:5" ht="25.5" x14ac:dyDescent="0.2">
      <c r="A1" t="s">
        <v>89</v>
      </c>
      <c r="B1" s="3" t="s">
        <v>90</v>
      </c>
      <c r="C1" t="s">
        <v>91</v>
      </c>
      <c r="D1" s="3" t="s">
        <v>92</v>
      </c>
      <c r="E1" t="s">
        <v>98</v>
      </c>
    </row>
    <row r="2" spans="1:5" x14ac:dyDescent="0.2">
      <c r="A2" t="s">
        <v>93</v>
      </c>
      <c r="B2">
        <v>23.3</v>
      </c>
      <c r="C2" t="s">
        <v>94</v>
      </c>
      <c r="D2">
        <v>2.83</v>
      </c>
      <c r="E2">
        <f>D2/(B2/1000)</f>
        <v>121.45922746781116</v>
      </c>
    </row>
    <row r="3" spans="1:5" x14ac:dyDescent="0.2">
      <c r="A3" t="s">
        <v>95</v>
      </c>
      <c r="B3">
        <v>14.7</v>
      </c>
      <c r="C3" t="s">
        <v>96</v>
      </c>
      <c r="D3">
        <v>4.2300000000000004</v>
      </c>
      <c r="E3">
        <f t="shared" ref="E3:E4" si="0">D3/(B3/1000)</f>
        <v>287.75510204081638</v>
      </c>
    </row>
    <row r="4" spans="1:5" x14ac:dyDescent="0.2">
      <c r="A4" t="s">
        <v>97</v>
      </c>
      <c r="B4">
        <v>66.400000000000006</v>
      </c>
      <c r="C4" t="s">
        <v>96</v>
      </c>
      <c r="D4">
        <v>4.2300000000000004</v>
      </c>
      <c r="E4">
        <f t="shared" si="0"/>
        <v>63.704819277108442</v>
      </c>
    </row>
    <row r="5" spans="1:5" x14ac:dyDescent="0.2">
      <c r="A5" t="s">
        <v>99</v>
      </c>
      <c r="B5">
        <v>153</v>
      </c>
      <c r="C5" t="s">
        <v>96</v>
      </c>
      <c r="D5">
        <v>4.2300000000000004</v>
      </c>
      <c r="E5">
        <f t="shared" ref="E5:E6" si="1">D5/(B5/1000)</f>
        <v>27.647058823529417</v>
      </c>
    </row>
    <row r="6" spans="1:5" x14ac:dyDescent="0.2">
      <c r="A6" t="s">
        <v>100</v>
      </c>
      <c r="B6">
        <v>490</v>
      </c>
      <c r="C6" t="s">
        <v>102</v>
      </c>
      <c r="D6">
        <v>2.69</v>
      </c>
      <c r="E6">
        <f t="shared" si="1"/>
        <v>5.4897959183673466</v>
      </c>
    </row>
    <row r="7" spans="1:5" x14ac:dyDescent="0.2">
      <c r="A7" t="s">
        <v>101</v>
      </c>
      <c r="B7">
        <v>0</v>
      </c>
      <c r="C7" t="s">
        <v>102</v>
      </c>
      <c r="D7">
        <v>2.69</v>
      </c>
      <c r="E7" t="s">
        <v>103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Parameters</vt:lpstr>
      <vt:lpstr>NCRP</vt:lpstr>
      <vt:lpstr>Calculated Kds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